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55" activeTab="0"/>
  </bookViews>
  <sheets>
    <sheet name="Monthly Holdings - SSgA EUT Jap" sheetId="1" r:id="rId1"/>
  </sheets>
  <definedNames/>
  <calcPr fullCalcOnLoad="1"/>
</workbook>
</file>

<file path=xl/sharedStrings.xml><?xml version="1.0" encoding="utf-8"?>
<sst xmlns="http://schemas.openxmlformats.org/spreadsheetml/2006/main" count="3604" uniqueCount="543">
  <si>
    <t>Portfolio Abbreviation</t>
  </si>
  <si>
    <t>Portfolio Long Name</t>
  </si>
  <si>
    <t>Date To</t>
  </si>
  <si>
    <t>Base Currency</t>
  </si>
  <si>
    <t>Major Issue Description</t>
  </si>
  <si>
    <t>Security ID</t>
  </si>
  <si>
    <t>Security Description</t>
  </si>
  <si>
    <t>Issue Level Classification</t>
  </si>
  <si>
    <t>Local Currency</t>
  </si>
  <si>
    <t>Fx Rate</t>
  </si>
  <si>
    <t>Quantity Held</t>
  </si>
  <si>
    <t>Book Cost Local</t>
  </si>
  <si>
    <t>Book Cost Base</t>
  </si>
  <si>
    <t>Market Price Local</t>
  </si>
  <si>
    <t>Market Value Local</t>
  </si>
  <si>
    <t>Market Value Base</t>
  </si>
  <si>
    <t>Accrued Income Local</t>
  </si>
  <si>
    <t>Accrued Income Base</t>
  </si>
  <si>
    <t xml:space="preserve">% Holding  </t>
  </si>
  <si>
    <t xml:space="preserve">BOIJPY         </t>
  </si>
  <si>
    <t xml:space="preserve">State Street IUT Japan Equity Index Fund          </t>
  </si>
  <si>
    <t>EUR</t>
  </si>
  <si>
    <t>Net Liquidity</t>
  </si>
  <si>
    <t xml:space="preserve">                                                                                                                                             </t>
  </si>
  <si>
    <t>Accrued Expense</t>
  </si>
  <si>
    <t xml:space="preserve">                                                                                                                                                               </t>
  </si>
  <si>
    <t>GBP</t>
  </si>
  <si>
    <t xml:space="preserve">                                                                                                                                                         </t>
  </si>
  <si>
    <t>Equity</t>
  </si>
  <si>
    <t xml:space="preserve">ABC-Mart Inc Ordinary JPY </t>
  </si>
  <si>
    <t>JPY</t>
  </si>
  <si>
    <t xml:space="preserve">   </t>
  </si>
  <si>
    <t xml:space="preserve">AEON Financial Service Co Ltd Ordinary JPY </t>
  </si>
  <si>
    <t xml:space="preserve">AEON REIT Investment Corp REIT JPY </t>
  </si>
  <si>
    <t xml:space="preserve">AGC Inc Ordinary JPY </t>
  </si>
  <si>
    <t xml:space="preserve">ANA Holdings Inc Ordinary JPY </t>
  </si>
  <si>
    <t xml:space="preserve">ASKUL Corp Ordinary JPY </t>
  </si>
  <si>
    <t xml:space="preserve">Acom Co Ltd Ordinary JPY </t>
  </si>
  <si>
    <t xml:space="preserve">Activia Properties Inc REIT JPY </t>
  </si>
  <si>
    <t xml:space="preserve">Advance Residence Investment C REIT JPY </t>
  </si>
  <si>
    <t xml:space="preserve">Advantest Corp Ordinary JPY </t>
  </si>
  <si>
    <t xml:space="preserve">Aeon Co Ltd Ordinary JPY </t>
  </si>
  <si>
    <t xml:space="preserve">Aeon Mall Co Ltd Ordinary JPY </t>
  </si>
  <si>
    <t xml:space="preserve">Aica Kogyo Co Ltd Ordinary JPY </t>
  </si>
  <si>
    <t xml:space="preserve">Ain Holdings Inc Ordinary JPY </t>
  </si>
  <si>
    <t xml:space="preserve">Air Water Inc Ordinary JPY </t>
  </si>
  <si>
    <t xml:space="preserve">Aisin Corp Ordinary JPY </t>
  </si>
  <si>
    <t xml:space="preserve">Ajinomoto Co Inc Ordinary JPY </t>
  </si>
  <si>
    <t xml:space="preserve">Alfresa Holdings Corp Ordinary JPY </t>
  </si>
  <si>
    <t xml:space="preserve">Alps Alpine Co Ltd Ordinary JPY </t>
  </si>
  <si>
    <t xml:space="preserve">Amada Co Ltd Ordinary JPY </t>
  </si>
  <si>
    <t xml:space="preserve">Amano Corp Ordinary JPY </t>
  </si>
  <si>
    <t xml:space="preserve">Anritsu Corp Ordinary JPY </t>
  </si>
  <si>
    <t xml:space="preserve">Aozora Bk Ltd Ordinary JPY </t>
  </si>
  <si>
    <t xml:space="preserve">Ariake Japan Co Ltd Ordinary JPY </t>
  </si>
  <si>
    <t xml:space="preserve">As One Corp Ordinary JPY </t>
  </si>
  <si>
    <t xml:space="preserve">Asahi Group Holdings Ltd Ordinary JPY </t>
  </si>
  <si>
    <t xml:space="preserve">Asahi Intecc Co Ltd Ordinary JPY </t>
  </si>
  <si>
    <t xml:space="preserve">Asahi Kasei Corp Ordinary JPY </t>
  </si>
  <si>
    <t xml:space="preserve">Asics Corp Ordinary JPY </t>
  </si>
  <si>
    <t xml:space="preserve">Astellas Pharma Inc Ordinary JPY </t>
  </si>
  <si>
    <t xml:space="preserve">Azbil Corp Ordinary JPY </t>
  </si>
  <si>
    <t xml:space="preserve">Bandai Namco Holdings Inc Ordinary JPY </t>
  </si>
  <si>
    <t xml:space="preserve">BayCurrent Consulting Inc Ordinary JPY </t>
  </si>
  <si>
    <t xml:space="preserve">Benefit One Inc Ordinary JPY </t>
  </si>
  <si>
    <t xml:space="preserve">Benesse Holdings Inc Ordinary JPY </t>
  </si>
  <si>
    <t xml:space="preserve">Bic Camera Inc Ordinary JPY </t>
  </si>
  <si>
    <t xml:space="preserve">Bk of Kyoto Ltd/The Ordinary JPY </t>
  </si>
  <si>
    <t xml:space="preserve">Bridgestone Corp Ordinary JPY </t>
  </si>
  <si>
    <t xml:space="preserve">Brother Industries Ltd Ordinary JPY </t>
  </si>
  <si>
    <t xml:space="preserve">COMSYS Holdings Corp Ordinary JPY </t>
  </si>
  <si>
    <t xml:space="preserve">Calbee Inc Ordinary JPY </t>
  </si>
  <si>
    <t xml:space="preserve">Canon Inc Ordinary JPY </t>
  </si>
  <si>
    <t xml:space="preserve">Canon Marketing Japan Inc Ordinary JPY </t>
  </si>
  <si>
    <t xml:space="preserve">Capcom Co Ltd Ordinary JPY </t>
  </si>
  <si>
    <t xml:space="preserve">Casio Computer Co Ltd Ordinary JPY </t>
  </si>
  <si>
    <t xml:space="preserve">Central Japan Railway Co Ordinary JPY </t>
  </si>
  <si>
    <t xml:space="preserve">Chiba Bk Ltd/The Ordinary JPY </t>
  </si>
  <si>
    <t xml:space="preserve">Chubu Electric Power Co Inc Ordinary JPY </t>
  </si>
  <si>
    <t xml:space="preserve">Chugai Pharmaceutical Co Ltd Ordinary JPY </t>
  </si>
  <si>
    <t xml:space="preserve">Chugoku Bk Ltd/The Ordinary JPY </t>
  </si>
  <si>
    <t xml:space="preserve">Chugoku Electric Power Co Inc/ Ordinary JPY </t>
  </si>
  <si>
    <t xml:space="preserve">Coca-Cola Bottlers Japan Holdi Ordinary JPY </t>
  </si>
  <si>
    <t xml:space="preserve">Concordia Financial Group Ltd Ordinary JPY </t>
  </si>
  <si>
    <t xml:space="preserve">Cosmo Energy Holdings Co Ltd Ordinary JPY </t>
  </si>
  <si>
    <t xml:space="preserve">Cosmos Pharmaceutical Corp Ordinary JPY </t>
  </si>
  <si>
    <t xml:space="preserve">Credit Saison Co Ltd Ordinary JPY </t>
  </si>
  <si>
    <t xml:space="preserve">CyberAgent Inc Ordinary JPY </t>
  </si>
  <si>
    <t xml:space="preserve">DIC Corp Ordinary JPY </t>
  </si>
  <si>
    <t xml:space="preserve">DMG Mori Co Ltd Ordinary JPY </t>
  </si>
  <si>
    <t xml:space="preserve">Dai Nippon Printing Co Ltd Ordinary JPY </t>
  </si>
  <si>
    <t xml:space="preserve">Dai-ichi Life Holdings Inc Ordinary JPY </t>
  </si>
  <si>
    <t xml:space="preserve">Daicel Corp Ordinary JPY </t>
  </si>
  <si>
    <t xml:space="preserve">Daido Steel Co Ltd Ordinary JPY </t>
  </si>
  <si>
    <t xml:space="preserve">Daifuku Co Ltd Ordinary JPY </t>
  </si>
  <si>
    <t xml:space="preserve">Daiichi Sankyo Co Ltd Ordinary JPY </t>
  </si>
  <si>
    <t xml:space="preserve">Daiichikosho Co Ltd Ordinary JPY </t>
  </si>
  <si>
    <t xml:space="preserve">Daikin Industries Ltd Ordinary JPY </t>
  </si>
  <si>
    <t xml:space="preserve">Daio Paper Corp Ordinary JPY </t>
  </si>
  <si>
    <t xml:space="preserve">Daito Tst Construction Co Ltd Ordinary JPY </t>
  </si>
  <si>
    <t xml:space="preserve">Daiwa House Industry Co Ltd Ordinary JPY </t>
  </si>
  <si>
    <t xml:space="preserve">Daiwa House REIT Investment Co REIT JPY </t>
  </si>
  <si>
    <t xml:space="preserve">Daiwa Office Investment Corp REIT JPY </t>
  </si>
  <si>
    <t xml:space="preserve">Daiwa Secs Group Inc Ordinary JPY </t>
  </si>
  <si>
    <t xml:space="preserve">DeNA Co Ltd Ordinary JPY </t>
  </si>
  <si>
    <t xml:space="preserve">Denka Co Ltd Ordinary JPY </t>
  </si>
  <si>
    <t xml:space="preserve">Denso Corp Ordinary JPY </t>
  </si>
  <si>
    <t xml:space="preserve">Dentsu Group Inc Ordinary JPY </t>
  </si>
  <si>
    <t xml:space="preserve">Disco Corp Ordinary JPY </t>
  </si>
  <si>
    <t xml:space="preserve">Dowa Holdings Co Ltd Ordinary JPY </t>
  </si>
  <si>
    <t xml:space="preserve">ENEOS Holdings Inc Ordinary JPY </t>
  </si>
  <si>
    <t xml:space="preserve">EXEO Group Inc Ordinary JPY </t>
  </si>
  <si>
    <t xml:space="preserve">East Japan Railway Co Ordinary JPY </t>
  </si>
  <si>
    <t xml:space="preserve">Ebara Corp Ordinary JPY </t>
  </si>
  <si>
    <t xml:space="preserve">Eisai Co Ltd Ordinary JPY </t>
  </si>
  <si>
    <t xml:space="preserve">Elecom Co Ltd Ordinary JPY </t>
  </si>
  <si>
    <t xml:space="preserve">Electric Power Development Co Ordinary JPY </t>
  </si>
  <si>
    <t xml:space="preserve">Ezaki Glico Co Ltd Ordinary JPY </t>
  </si>
  <si>
    <t xml:space="preserve">FANUC Corp Ordinary JPY </t>
  </si>
  <si>
    <t xml:space="preserve">FP Corp Ordinary JPY </t>
  </si>
  <si>
    <t xml:space="preserve">FUJIFILM Holdings Corp Ordinary JPY </t>
  </si>
  <si>
    <t xml:space="preserve">Fancl Corp Ordinary JPY </t>
  </si>
  <si>
    <t xml:space="preserve">Fast Retailing Co Ltd Ordinary JPY </t>
  </si>
  <si>
    <t xml:space="preserve">Food &amp; Life Cos Ltd Ordinary JPY </t>
  </si>
  <si>
    <t xml:space="preserve">Fuji Electric Co Ltd Ordinary JPY </t>
  </si>
  <si>
    <t xml:space="preserve">Fuji Kyuko Co Ltd Ordinary JPY </t>
  </si>
  <si>
    <t xml:space="preserve">Fuji Media Holdings Inc Ordinary JPY </t>
  </si>
  <si>
    <t xml:space="preserve">Fuji Oil Holdings Inc Ordinary JPY </t>
  </si>
  <si>
    <t xml:space="preserve">Fujitsu General Ltd Ordinary JPY </t>
  </si>
  <si>
    <t xml:space="preserve">Fujitsu Ltd Ordinary JPY </t>
  </si>
  <si>
    <t xml:space="preserve">Fukuoka Financial Group Inc Ordinary JPY </t>
  </si>
  <si>
    <t xml:space="preserve">Fukuyama Transporting Co Ltd Ordinary JPY </t>
  </si>
  <si>
    <t xml:space="preserve">Furukawa Electric Co Ltd Ordinary JPY </t>
  </si>
  <si>
    <t xml:space="preserve">Fuyo General Lease Co Ltd Ordinary JPY </t>
  </si>
  <si>
    <t xml:space="preserve">GLP J-Reit REIT JPY </t>
  </si>
  <si>
    <t xml:space="preserve">GMO Payment Gateway Inc Ordinary JPY </t>
  </si>
  <si>
    <t xml:space="preserve">GMO internet Inc Ordinary JPY </t>
  </si>
  <si>
    <t xml:space="preserve">GS Yuasa Corp Ordinary JPY </t>
  </si>
  <si>
    <t xml:space="preserve">Goldwin Inc Ordinary JPY </t>
  </si>
  <si>
    <t xml:space="preserve">GungHo Online Entertainment In Ordinary JPY </t>
  </si>
  <si>
    <t xml:space="preserve">H.U. Group Holdings Inc Ordinary JPY </t>
  </si>
  <si>
    <t xml:space="preserve">Hachijuni Bk Ltd/The Ordinary JPY </t>
  </si>
  <si>
    <t xml:space="preserve">Hakuhodo DY Holdings Inc Ordinary JPY </t>
  </si>
  <si>
    <t xml:space="preserve">Hamamatsu Photonics KK Ordinary JPY </t>
  </si>
  <si>
    <t xml:space="preserve">Hankyu Hanshin Holdings Inc Ordinary JPY </t>
  </si>
  <si>
    <t xml:space="preserve">Haseko Corp Ordinary JPY </t>
  </si>
  <si>
    <t xml:space="preserve">Heiwa Corp Ordinary JPY </t>
  </si>
  <si>
    <t xml:space="preserve">Hikari Tsushin Inc Ordinary JPY </t>
  </si>
  <si>
    <t xml:space="preserve">Hino Motors Ltd Ordinary JPY </t>
  </si>
  <si>
    <t xml:space="preserve">Hirogin Holdings Inc Ordinary JPY </t>
  </si>
  <si>
    <t xml:space="preserve">Hirose Electric Co Ltd Ordinary JPY </t>
  </si>
  <si>
    <t xml:space="preserve">Hisamitsu Pharmaceutical Co In Ordinary JPY </t>
  </si>
  <si>
    <t xml:space="preserve">Hitachi Construction Machinery Ordinary JPY </t>
  </si>
  <si>
    <t xml:space="preserve">Hitachi Ltd Ordinary JPY </t>
  </si>
  <si>
    <t xml:space="preserve">Hitachi Metals Ltd Ordinary JPY </t>
  </si>
  <si>
    <t xml:space="preserve">Hitachi Transport System Ltd Ordinary JPY </t>
  </si>
  <si>
    <t xml:space="preserve">Honda Motor Co Ltd Ordinary JPY </t>
  </si>
  <si>
    <t xml:space="preserve">Horiba Ltd Ordinary JPY </t>
  </si>
  <si>
    <t xml:space="preserve">Hoshizaki Corp Ordinary JPY </t>
  </si>
  <si>
    <t xml:space="preserve">House Foods Group Inc Ordinary JPY </t>
  </si>
  <si>
    <t xml:space="preserve">Hoya Corp Ordinary JPY </t>
  </si>
  <si>
    <t xml:space="preserve">Hulic Co Ltd Ordinary JPY </t>
  </si>
  <si>
    <t xml:space="preserve">IHI Corp Ordinary JPY </t>
  </si>
  <si>
    <t xml:space="preserve">INFRONEER Holdings Inc Ordinary JPY </t>
  </si>
  <si>
    <t xml:space="preserve">IR Japan Holdings Ltd Ordinary JPY </t>
  </si>
  <si>
    <t xml:space="preserve">ITOCHU Corp Ordinary JPY </t>
  </si>
  <si>
    <t xml:space="preserve">Ibiden Co Ltd Ordinary JPY </t>
  </si>
  <si>
    <t xml:space="preserve">Ichigo Inc Ordinary JPY </t>
  </si>
  <si>
    <t xml:space="preserve">Idemitsu Kosan Co Ltd Ordinary JPY </t>
  </si>
  <si>
    <t xml:space="preserve">Iida Group Holdings Co Ltd Ordinary JPY </t>
  </si>
  <si>
    <t xml:space="preserve">Industrial &amp; Infrastructure Fd REIT JPY </t>
  </si>
  <si>
    <t xml:space="preserve">Information Services Intl-Dent Ordinary JPY </t>
  </si>
  <si>
    <t xml:space="preserve">Inpex Corp Ordinary JPY </t>
  </si>
  <si>
    <t xml:space="preserve">Internet Initiative Japan Inc Ordinary JPY </t>
  </si>
  <si>
    <t xml:space="preserve">Isetan Mitsukoshi Holdings Ltd Ordinary JPY </t>
  </si>
  <si>
    <t xml:space="preserve">Isuzu Motors Ltd Ordinary JPY </t>
  </si>
  <si>
    <t xml:space="preserve">Ito En Ltd Ordinary JPY </t>
  </si>
  <si>
    <t xml:space="preserve">Itochu Techno-Solutions Corp Ordinary JPY </t>
  </si>
  <si>
    <t xml:space="preserve">Itoham Yonekyu Holdings Inc Ordinary JPY </t>
  </si>
  <si>
    <t xml:space="preserve">Iwatani Corp Ordinary JPY </t>
  </si>
  <si>
    <t xml:space="preserve">Iyo Bk Ltd/The Ordinary JPY </t>
  </si>
  <si>
    <t xml:space="preserve">Izumi Co Ltd Ordinary JPY </t>
  </si>
  <si>
    <t xml:space="preserve">J Front Retailing Co Ltd Ordinary JPY </t>
  </si>
  <si>
    <t xml:space="preserve">JCR Pharmaceuticals Co Ltd Ordinary JPY </t>
  </si>
  <si>
    <t xml:space="preserve">JFE Holdings Inc Ordinary JPY </t>
  </si>
  <si>
    <t xml:space="preserve">JGC Holdings Corp Ordinary JPY </t>
  </si>
  <si>
    <t xml:space="preserve">JSR Corp Ordinary JPY </t>
  </si>
  <si>
    <t xml:space="preserve">JTEKT Corp Ordinary JPY </t>
  </si>
  <si>
    <t xml:space="preserve">Japan Airlines Co Ltd Ordinary JPY </t>
  </si>
  <si>
    <t xml:space="preserve">Japan Airport Terminal Co Ltd Ordinary JPY </t>
  </si>
  <si>
    <t xml:space="preserve">Japan Aviation Electronics Ind Ordinary JPY </t>
  </si>
  <si>
    <t xml:space="preserve">Japan Exch Group Inc Ordinary JPY </t>
  </si>
  <si>
    <t xml:space="preserve">Japan Hotel REIT Investment Co REIT JPY </t>
  </si>
  <si>
    <t xml:space="preserve">Japan Logistics Fd Inc REIT JPY </t>
  </si>
  <si>
    <t xml:space="preserve">Japan Metropolitan Fd Invest REIT JPY </t>
  </si>
  <si>
    <t xml:space="preserve">Japan Post Bk Co Ltd Ordinary JPY </t>
  </si>
  <si>
    <t xml:space="preserve">Japan Post Holdings Co Ltd Ordinary JPY </t>
  </si>
  <si>
    <t xml:space="preserve">Japan Post Insurance Co Ltd Ordinary JPY </t>
  </si>
  <si>
    <t xml:space="preserve">Japan Prime Realty Investment REIT JPY </t>
  </si>
  <si>
    <t xml:space="preserve">Japan Real Estate Investment C REIT JPY </t>
  </si>
  <si>
    <t xml:space="preserve">Japan Tobacco Inc Ordinary JPY </t>
  </si>
  <si>
    <t xml:space="preserve">Jeol Ltd Ordinary JPY </t>
  </si>
  <si>
    <t xml:space="preserve">Justsystems Corp Ordinary JPY </t>
  </si>
  <si>
    <t xml:space="preserve">K's Holdings Corp Ordinary JPY </t>
  </si>
  <si>
    <t xml:space="preserve">KDDI Corp Ordinary JPY </t>
  </si>
  <si>
    <t xml:space="preserve">Kadokawa Corp Ordinary JPY </t>
  </si>
  <si>
    <t xml:space="preserve">Kagome Co Ltd Ordinary JPY </t>
  </si>
  <si>
    <t xml:space="preserve">Kajima Corp Ordinary JPY </t>
  </si>
  <si>
    <t xml:space="preserve">Kakaku.com Inc Ordinary JPY </t>
  </si>
  <si>
    <t xml:space="preserve">Kaken Pharmaceutical Co Ltd Ordinary JPY </t>
  </si>
  <si>
    <t xml:space="preserve">Kamigumi Co Ltd Ordinary JPY </t>
  </si>
  <si>
    <t xml:space="preserve">Kandenko Co Ltd Ordinary JPY </t>
  </si>
  <si>
    <t xml:space="preserve">Kaneka Corp Ordinary JPY </t>
  </si>
  <si>
    <t xml:space="preserve">Kansai Electric Power Co Inc/T Ordinary JPY </t>
  </si>
  <si>
    <t xml:space="preserve">Kansai Paint Co Ltd Ordinary JPY </t>
  </si>
  <si>
    <t xml:space="preserve">Kao Corp Ordinary JPY </t>
  </si>
  <si>
    <t xml:space="preserve">Kawasaki Heavy Industries Ltd Ordinary JPY </t>
  </si>
  <si>
    <t xml:space="preserve">Kawasaki Kisen Kaisha Ltd Ordinary JPY </t>
  </si>
  <si>
    <t xml:space="preserve">Keihan Holdings Co Ltd Ordinary JPY </t>
  </si>
  <si>
    <t xml:space="preserve">Keikyu Corp Ordinary JPY </t>
  </si>
  <si>
    <t xml:space="preserve">Keio Corp Ordinary JPY </t>
  </si>
  <si>
    <t xml:space="preserve">Keisei Electric Railway Co Ltd Ordinary JPY </t>
  </si>
  <si>
    <t xml:space="preserve">Kenedix Office Investment Corp REIT JPY </t>
  </si>
  <si>
    <t xml:space="preserve">Kewpie Corp Ordinary JPY </t>
  </si>
  <si>
    <t xml:space="preserve">Keyence Corp Ordinary JPY </t>
  </si>
  <si>
    <t xml:space="preserve">Kikkoman Corp Ordinary JPY </t>
  </si>
  <si>
    <t xml:space="preserve">Kinden Corp Ordinary JPY </t>
  </si>
  <si>
    <t xml:space="preserve">Kintetsu Group Holdings Co Ltd Ordinary JPY </t>
  </si>
  <si>
    <t xml:space="preserve">Kirin Holdings Co Ltd Ordinary JPY </t>
  </si>
  <si>
    <t xml:space="preserve">Kobayashi Pharmaceutical Co Lt Ordinary JPY </t>
  </si>
  <si>
    <t xml:space="preserve">Kobe Bussan Co Ltd Ordinary JPY </t>
  </si>
  <si>
    <t xml:space="preserve">Kobe Steel Ltd Ordinary JPY </t>
  </si>
  <si>
    <t xml:space="preserve">Koei Tecmo Holdings Co Ltd Ordinary JPY </t>
  </si>
  <si>
    <t xml:space="preserve">Koito Manufacturing Co Ltd Ordinary JPY </t>
  </si>
  <si>
    <t xml:space="preserve">Kokuyo Co Ltd Ordinary JPY </t>
  </si>
  <si>
    <t xml:space="preserve">Komatsu Ltd Ordinary JPY </t>
  </si>
  <si>
    <t xml:space="preserve">Konami Holdings Corp Ordinary JPY </t>
  </si>
  <si>
    <t xml:space="preserve">Konica Minolta Inc Ordinary JPY </t>
  </si>
  <si>
    <t xml:space="preserve">Kose Corp Ordinary JPY </t>
  </si>
  <si>
    <t xml:space="preserve">Kotobuki Spirits Co Ltd Ordinary JPY </t>
  </si>
  <si>
    <t xml:space="preserve">Kubota Corp Ordinary JPY </t>
  </si>
  <si>
    <t xml:space="preserve">Kuraray Co Ltd Ordinary JPY </t>
  </si>
  <si>
    <t xml:space="preserve">Kurita Water Industries Ltd Ordinary JPY </t>
  </si>
  <si>
    <t xml:space="preserve">Kusuri no Aoki Holdings Co Ltd Ordinary JPY </t>
  </si>
  <si>
    <t xml:space="preserve">Kyocera Corp Ordinary JPY </t>
  </si>
  <si>
    <t xml:space="preserve">Kyowa Kirin Co Ltd Ordinary JPY </t>
  </si>
  <si>
    <t xml:space="preserve">Kyudenko Corp Ordinary JPY </t>
  </si>
  <si>
    <t xml:space="preserve">Kyushu Electric Power Co Inc Ordinary JPY </t>
  </si>
  <si>
    <t xml:space="preserve">Kyushu Financial Group Inc Ordinary JPY </t>
  </si>
  <si>
    <t xml:space="preserve">Kyushu Railway Co Ordinary JPY </t>
  </si>
  <si>
    <t xml:space="preserve">LaSalle Logiport REIT REIT JPY </t>
  </si>
  <si>
    <t xml:space="preserve">Lasertec Corp Ordinary JPY </t>
  </si>
  <si>
    <t xml:space="preserve">Lawson Inc Ordinary JPY </t>
  </si>
  <si>
    <t xml:space="preserve">Lintec Corp Ordinary JPY </t>
  </si>
  <si>
    <t xml:space="preserve">Lion Corp Ordinary JPY </t>
  </si>
  <si>
    <t xml:space="preserve">Lixil Corp Ordinary JPY </t>
  </si>
  <si>
    <t xml:space="preserve">M3 Inc Ordinary JPY </t>
  </si>
  <si>
    <t xml:space="preserve">MEIJI Holdings Co Ltd Ordinary JPY </t>
  </si>
  <si>
    <t xml:space="preserve">MINEBEA MITSUMI Inc Ordinary JPY </t>
  </si>
  <si>
    <t xml:space="preserve">MISUMI Group Inc Ordinary JPY </t>
  </si>
  <si>
    <t xml:space="preserve">MS&amp;AD Insurance Group Holdings Ordinary JPY </t>
  </si>
  <si>
    <t xml:space="preserve">Mabuchi Motor Co Ltd Ordinary JPY </t>
  </si>
  <si>
    <t xml:space="preserve">Makita Corp Ordinary JPY </t>
  </si>
  <si>
    <t xml:space="preserve">Mani Inc Ordinary JPY </t>
  </si>
  <si>
    <t xml:space="preserve">Marubeni Corp Ordinary JPY </t>
  </si>
  <si>
    <t xml:space="preserve">Marui Group Co Ltd Ordinary JPY </t>
  </si>
  <si>
    <t xml:space="preserve">Maruichi Steel Tube Ltd Ordinary JPY </t>
  </si>
  <si>
    <t xml:space="preserve">Matsui Secs Co Ltd Ordinary JPY </t>
  </si>
  <si>
    <t xml:space="preserve">MatsukiyoCocokara &amp; Co Ordinary JPY </t>
  </si>
  <si>
    <t xml:space="preserve">Mazda Motor Corp Ordinary JPY </t>
  </si>
  <si>
    <t xml:space="preserve">Mebuki Financial Group Inc Ordinary JPY </t>
  </si>
  <si>
    <t xml:space="preserve">Medipal Holdings Corp Ordinary JPY </t>
  </si>
  <si>
    <t xml:space="preserve">Menicon Co Ltd Ordinary JPY </t>
  </si>
  <si>
    <t xml:space="preserve">Mitsubishi Chemical Holdings C Ordinary JPY </t>
  </si>
  <si>
    <t xml:space="preserve">Mitsubishi Corp Ordinary JPY </t>
  </si>
  <si>
    <t xml:space="preserve">Mitsubishi Electric Corp Ordinary JPY </t>
  </si>
  <si>
    <t xml:space="preserve">Mitsubishi Estate Co Ltd Ordinary JPY </t>
  </si>
  <si>
    <t xml:space="preserve">Mitsubishi Gas Chemical Co Inc Ordinary JPY </t>
  </si>
  <si>
    <t xml:space="preserve">Mitsubishi HC Capital Inc Ordinary JPY </t>
  </si>
  <si>
    <t xml:space="preserve">Mitsubishi Heavy Industries Lt Ordinary JPY </t>
  </si>
  <si>
    <t xml:space="preserve">Mitsubishi Logistics Corp Ordinary JPY </t>
  </si>
  <si>
    <t xml:space="preserve">Mitsubishi Materials Corp Ordinary JPY </t>
  </si>
  <si>
    <t xml:space="preserve">Mitsubishi Motors Corp Ordinary JPY </t>
  </si>
  <si>
    <t xml:space="preserve">Mitsubishi UFJ Financial Group Ordinary JPY </t>
  </si>
  <si>
    <t xml:space="preserve">Mitsui &amp; Co Ltd Ordinary JPY </t>
  </si>
  <si>
    <t xml:space="preserve">Mitsui Chemicals Inc Ordinary JPY </t>
  </si>
  <si>
    <t xml:space="preserve">Mitsui Fudosan Co Ltd Ordinary JPY </t>
  </si>
  <si>
    <t xml:space="preserve">Mitsui Fudosan Logistics Park REIT JPY </t>
  </si>
  <si>
    <t xml:space="preserve">Mitsui Mining &amp; Smelting Co Lt Ordinary JPY </t>
  </si>
  <si>
    <t xml:space="preserve">Mitsui OSK Lines Ltd Ordinary JPY </t>
  </si>
  <si>
    <t xml:space="preserve">Miura Co Ltd Ordinary JPY </t>
  </si>
  <si>
    <t xml:space="preserve">Mizuho Financial Group Inc Ordinary JPY </t>
  </si>
  <si>
    <t xml:space="preserve">MonotaRO Co Ltd Ordinary JPY </t>
  </si>
  <si>
    <t xml:space="preserve">Mori Hills REIT Investment Cor REIT JPY </t>
  </si>
  <si>
    <t xml:space="preserve">Morinaga &amp; Co Ltd/Japan Ordinary JPY </t>
  </si>
  <si>
    <t xml:space="preserve">Morinaga Milk Industry Co Ltd Ordinary JPY </t>
  </si>
  <si>
    <t xml:space="preserve">Murata Manufacturing Co Ltd Ordinary JPY </t>
  </si>
  <si>
    <t xml:space="preserve">NEC Corp Ordinary JPY </t>
  </si>
  <si>
    <t xml:space="preserve">NEC Networks &amp; System Integrat Ordinary JPY </t>
  </si>
  <si>
    <t xml:space="preserve">NET One Systems Co Ltd Ordinary JPY </t>
  </si>
  <si>
    <t xml:space="preserve">NGK Insulators Ltd Ordinary JPY </t>
  </si>
  <si>
    <t xml:space="preserve">NGK Spark Plug Co Ltd Ordinary JPY </t>
  </si>
  <si>
    <t xml:space="preserve">NH Foods Ltd Ordinary JPY </t>
  </si>
  <si>
    <t xml:space="preserve">NHK Spring Co Ltd Ordinary JPY </t>
  </si>
  <si>
    <t xml:space="preserve">NOF Corp Ordinary JPY </t>
  </si>
  <si>
    <t xml:space="preserve">NOK Corp Ordinary JPY </t>
  </si>
  <si>
    <t xml:space="preserve">NS Solutions Corp Ordinary JPY </t>
  </si>
  <si>
    <t xml:space="preserve">NSK Ltd Ordinary JPY </t>
  </si>
  <si>
    <t xml:space="preserve">NTT Data Corp Ordinary JPY </t>
  </si>
  <si>
    <t xml:space="preserve">Nabtesco Corp Ordinary JPY </t>
  </si>
  <si>
    <t xml:space="preserve">Nagase &amp; Co Ltd Ordinary JPY </t>
  </si>
  <si>
    <t xml:space="preserve">Nagoya Railroad Co Ltd Ordinary JPY </t>
  </si>
  <si>
    <t xml:space="preserve">Nankai Electric Railway Co Ltd Ordinary JPY </t>
  </si>
  <si>
    <t xml:space="preserve">Nexon Co Ltd Ordinary JPY </t>
  </si>
  <si>
    <t xml:space="preserve">Nichirei Corp Ordinary JPY </t>
  </si>
  <si>
    <t xml:space="preserve">Nidec Corp Ordinary JPY </t>
  </si>
  <si>
    <t xml:space="preserve">Nifco Inc/Japan Ordinary JPY </t>
  </si>
  <si>
    <t xml:space="preserve">Nihon Kohden Corp Ordinary JPY </t>
  </si>
  <si>
    <t xml:space="preserve">Nihon M&amp;A Center Holdings Inc Ordinary JPY </t>
  </si>
  <si>
    <t xml:space="preserve">Nihon Unisys Ltd Ordinary JPY </t>
  </si>
  <si>
    <t xml:space="preserve">Nikon Corp Ordinary JPY </t>
  </si>
  <si>
    <t xml:space="preserve">Nintendo Co Ltd Ordinary JPY </t>
  </si>
  <si>
    <t xml:space="preserve">Nippo Corp Ordinary JPY </t>
  </si>
  <si>
    <t xml:space="preserve">Nippon Accommodations Fd Inc REIT JPY </t>
  </si>
  <si>
    <t xml:space="preserve">Nippon Bldg Fd Inc REIT JPY </t>
  </si>
  <si>
    <t xml:space="preserve">Nippon Electric Glass Co Ltd Ordinary JPY </t>
  </si>
  <si>
    <t xml:space="preserve">Nippon Express Co Ltd Ordinary JPY </t>
  </si>
  <si>
    <t xml:space="preserve">Nippon Kayaku Co Ltd Ordinary JPY </t>
  </si>
  <si>
    <t xml:space="preserve">Nippon Paint Holdings Co Ltd Ordinary JPY </t>
  </si>
  <si>
    <t xml:space="preserve">Nippon Prologis REIT Inc REIT JPY </t>
  </si>
  <si>
    <t xml:space="preserve">Nippon Sanso Holdings Corp Ordinary JPY </t>
  </si>
  <si>
    <t xml:space="preserve">Nippon Shinyaku Co Ltd Ordinary JPY </t>
  </si>
  <si>
    <t xml:space="preserve">Nippon Shokubai Co Ltd Ordinary JPY </t>
  </si>
  <si>
    <t xml:space="preserve">Nippon Steel Corp Ordinary JPY </t>
  </si>
  <si>
    <t xml:space="preserve">Nippon Telegraph &amp; Telephone C Ordinary JPY </t>
  </si>
  <si>
    <t xml:space="preserve">Nippon Yusen KK Ordinary JPY </t>
  </si>
  <si>
    <t xml:space="preserve">Nipro Corp Ordinary JPY </t>
  </si>
  <si>
    <t xml:space="preserve">Nishi-Nippon Railroad Co Ltd Ordinary JPY </t>
  </si>
  <si>
    <t xml:space="preserve">Nissan Chemical Corp Ordinary JPY </t>
  </si>
  <si>
    <t xml:space="preserve">Nissan Motor Co Ltd Ordinary JPY </t>
  </si>
  <si>
    <t xml:space="preserve">Nisshin Seifun Group Inc Ordinary JPY </t>
  </si>
  <si>
    <t xml:space="preserve">Nissin Foods Holdings Co Ltd Ordinary JPY </t>
  </si>
  <si>
    <t xml:space="preserve">Nitori Holdings Co Ltd Ordinary JPY </t>
  </si>
  <si>
    <t xml:space="preserve">Nitto Denko Corp Ordinary JPY </t>
  </si>
  <si>
    <t xml:space="preserve">Noevir Holdings Co Ltd Ordinary JPY </t>
  </si>
  <si>
    <t xml:space="preserve">Nomura Holdings Inc Ordinary JPY </t>
  </si>
  <si>
    <t xml:space="preserve">Nomura Real Estate Holdings In Ordinary JPY </t>
  </si>
  <si>
    <t xml:space="preserve">Nomura Real Estate Master Fd I REIT JPY </t>
  </si>
  <si>
    <t xml:space="preserve">Nomura Research Institute Ltd Ordinary JPY </t>
  </si>
  <si>
    <t xml:space="preserve">OBIC Bus Consultants Co Ltd Ordinary JPY </t>
  </si>
  <si>
    <t xml:space="preserve">OKUMA Corp Ordinary JPY </t>
  </si>
  <si>
    <t xml:space="preserve">ORIX Corp Ordinary JPY </t>
  </si>
  <si>
    <t xml:space="preserve">OSG Corp Ordinary JPY </t>
  </si>
  <si>
    <t xml:space="preserve">Obayashi Corp Ordinary JPY </t>
  </si>
  <si>
    <t xml:space="preserve">Obic Co Ltd Ordinary JPY </t>
  </si>
  <si>
    <t xml:space="preserve">Odakyu Electric Railway Co Ltd Ordinary JPY </t>
  </si>
  <si>
    <t xml:space="preserve">Oji Holdings Corp Ordinary JPY </t>
  </si>
  <si>
    <t xml:space="preserve">Olympus Corp Ordinary JPY </t>
  </si>
  <si>
    <t xml:space="preserve">Omron Corp Ordinary JPY </t>
  </si>
  <si>
    <t xml:space="preserve">Ono Pharmaceutical Co Ltd Ordinary JPY </t>
  </si>
  <si>
    <t xml:space="preserve">Open House Group Co Ltd Ordinary JPY </t>
  </si>
  <si>
    <t xml:space="preserve">Oracle Corp Japan Ordinary JPY </t>
  </si>
  <si>
    <t xml:space="preserve">Orient Corp Ordinary JPY </t>
  </si>
  <si>
    <t xml:space="preserve">Oriental Land Co Ltd/Japan Ordinary JPY </t>
  </si>
  <si>
    <t xml:space="preserve">Orix JREIT Inc REIT JPY </t>
  </si>
  <si>
    <t xml:space="preserve">Osaka Gas Co Ltd Ordinary JPY </t>
  </si>
  <si>
    <t xml:space="preserve">Otsuka Corp Ordinary JPY </t>
  </si>
  <si>
    <t xml:space="preserve">Otsuka Holdings Co Ltd Ordinary JPY </t>
  </si>
  <si>
    <t xml:space="preserve">PALTAC Corp Ordinary JPY </t>
  </si>
  <si>
    <t xml:space="preserve">Pan Pacific Intl Holdings Corp Ordinary JPY </t>
  </si>
  <si>
    <t xml:space="preserve">Panasonic Corp Ordinary JPY </t>
  </si>
  <si>
    <t xml:space="preserve">Park24 Co Ltd Ordinary JPY </t>
  </si>
  <si>
    <t xml:space="preserve">Penta-Ocean Construction Co Lt Ordinary JPY </t>
  </si>
  <si>
    <t xml:space="preserve">PeptiDream Inc Ordinary JPY </t>
  </si>
  <si>
    <t xml:space="preserve">Persol Holdings Co Ltd Ordinary JPY </t>
  </si>
  <si>
    <t xml:space="preserve">Pigeon Corp Ordinary JPY </t>
  </si>
  <si>
    <t xml:space="preserve">Pola Orbis Holdings Inc Ordinary JPY </t>
  </si>
  <si>
    <t xml:space="preserve">RENOVA Inc Ordinary JPY </t>
  </si>
  <si>
    <t xml:space="preserve">Rakus Co Ltd Ordinary JPY </t>
  </si>
  <si>
    <t xml:space="preserve">Rakuten Group Inc Ordinary JPY </t>
  </si>
  <si>
    <t xml:space="preserve">Recruit Holdings Co Ltd Ordinary JPY </t>
  </si>
  <si>
    <t xml:space="preserve">Relo Group Inc Ordinary JPY </t>
  </si>
  <si>
    <t xml:space="preserve">Renesas Electronics Corp Ordinary JPY </t>
  </si>
  <si>
    <t xml:space="preserve">Rengo Co Ltd Ordinary JPY </t>
  </si>
  <si>
    <t xml:space="preserve">Resona Holdings Inc Ordinary JPY </t>
  </si>
  <si>
    <t xml:space="preserve">Resorttrust Inc Ordinary JPY </t>
  </si>
  <si>
    <t xml:space="preserve">Ricoh Co Ltd Ordinary JPY </t>
  </si>
  <si>
    <t xml:space="preserve">Rinnai Corp Ordinary JPY </t>
  </si>
  <si>
    <t xml:space="preserve">Rohm Co Ltd Ordinary JPY </t>
  </si>
  <si>
    <t xml:space="preserve">Rohto Pharmaceutical Co Ltd Ordinary JPY </t>
  </si>
  <si>
    <t xml:space="preserve">Ryohin Keikaku Co Ltd Ordinary JPY </t>
  </si>
  <si>
    <t xml:space="preserve">SBI Holdings Inc/Japan Ordinary JPY </t>
  </si>
  <si>
    <t xml:space="preserve">SCREEN Holdings Co Ltd Ordinary JPY </t>
  </si>
  <si>
    <t xml:space="preserve">SCSK Corp Ordinary JPY </t>
  </si>
  <si>
    <t xml:space="preserve">SG Holdings Co Ltd Ordinary JPY </t>
  </si>
  <si>
    <t xml:space="preserve">SHIFT Inc Ordinary JPY </t>
  </si>
  <si>
    <t xml:space="preserve">SHO-BOND Holdings Co Ltd Ordinary JPY </t>
  </si>
  <si>
    <t xml:space="preserve">SMC Corp Ordinary JPY </t>
  </si>
  <si>
    <t xml:space="preserve">SMS Co Ltd Ordinary JPY </t>
  </si>
  <si>
    <t xml:space="preserve">SUMCO Corp Ordinary JPY </t>
  </si>
  <si>
    <t xml:space="preserve">Sankyo Co Ltd Ordinary JPY </t>
  </si>
  <si>
    <t xml:space="preserve">Sankyu Inc Ordinary JPY </t>
  </si>
  <si>
    <t xml:space="preserve">Sansan Inc Ordinary JPY </t>
  </si>
  <si>
    <t xml:space="preserve">Santen Pharmaceutical Co Ltd Ordinary JPY </t>
  </si>
  <si>
    <t xml:space="preserve">Sanwa Holdings Corp Ordinary JPY </t>
  </si>
  <si>
    <t xml:space="preserve">Sapporo Holdings Ltd Ordinary JPY </t>
  </si>
  <si>
    <t xml:space="preserve">Sawai Group Holdings Co Ltd Ordinary JPY </t>
  </si>
  <si>
    <t xml:space="preserve">Secom Co Ltd Ordinary JPY </t>
  </si>
  <si>
    <t xml:space="preserve">Sega Sammy Holdings Inc Ordinary JPY </t>
  </si>
  <si>
    <t xml:space="preserve">Seibu Holdings Inc Ordinary JPY </t>
  </si>
  <si>
    <t xml:space="preserve">Seiko Epson Corp Ordinary JPY </t>
  </si>
  <si>
    <t xml:space="preserve">Seino Holdings Co Ltd Ordinary JPY </t>
  </si>
  <si>
    <t xml:space="preserve">Sekisui Chemical Co Ltd Ordinary JPY </t>
  </si>
  <si>
    <t xml:space="preserve">Sekisui House Ltd Ordinary JPY </t>
  </si>
  <si>
    <t xml:space="preserve">Sekisui House Reit Inc REIT JPY </t>
  </si>
  <si>
    <t xml:space="preserve">Seven &amp; i Holdings Co Ltd Ordinary JPY </t>
  </si>
  <si>
    <t xml:space="preserve">Seven Bk Ltd Ordinary JPY </t>
  </si>
  <si>
    <t xml:space="preserve">Sharp Corp/Japan Ordinary JPY </t>
  </si>
  <si>
    <t xml:space="preserve">Shikoku Electric Power Co Inc Ordinary JPY </t>
  </si>
  <si>
    <t xml:space="preserve">Shimadzu Corp Ordinary JPY </t>
  </si>
  <si>
    <t xml:space="preserve">Shimamura Co Ltd Ordinary JPY </t>
  </si>
  <si>
    <t xml:space="preserve">Shimano Inc Ordinary JPY </t>
  </si>
  <si>
    <t xml:space="preserve">Shimizu Corp Ordinary JPY </t>
  </si>
  <si>
    <t xml:space="preserve">Shin-Etsu Chemical Co Ltd Ordinary JPY </t>
  </si>
  <si>
    <t xml:space="preserve">Shinko Electric Industries Co Ordinary JPY </t>
  </si>
  <si>
    <t xml:space="preserve">Shinsei Bk Ltd Ordinary JPY </t>
  </si>
  <si>
    <t xml:space="preserve">Shionogi &amp; Co Ltd Ordinary JPY </t>
  </si>
  <si>
    <t xml:space="preserve">Ship Healthcare Holdings Inc Ordinary JPY </t>
  </si>
  <si>
    <t xml:space="preserve">Shiseido Co Ltd Ordinary JPY </t>
  </si>
  <si>
    <t xml:space="preserve">Shizuoka Bk Ltd/The Ordinary JPY </t>
  </si>
  <si>
    <t xml:space="preserve">Shochiku Co Ltd Ordinary JPY </t>
  </si>
  <si>
    <t xml:space="preserve">Showa Denko KK Ordinary JPY </t>
  </si>
  <si>
    <t xml:space="preserve">Skylark Holdings Co Ltd Ordinary JPY </t>
  </si>
  <si>
    <t xml:space="preserve">SoftBk Corp Ordinary JPY </t>
  </si>
  <si>
    <t xml:space="preserve">SoftBk Group Corp Ordinary JPY </t>
  </si>
  <si>
    <t xml:space="preserve">Sohgo Security Services Co Ltd Ordinary JPY </t>
  </si>
  <si>
    <t xml:space="preserve">Sojitz Corp Ordinary JPY </t>
  </si>
  <si>
    <t xml:space="preserve">Sompo Holdings Inc Ordinary JPY </t>
  </si>
  <si>
    <t xml:space="preserve">Sony Group Corp Ordinary JPY </t>
  </si>
  <si>
    <t xml:space="preserve">Sotetsu Holdings Inc Ordinary JPY </t>
  </si>
  <si>
    <t xml:space="preserve">Square Enix Holdings Co Ltd Ordinary JPY </t>
  </si>
  <si>
    <t xml:space="preserve">Stanley Electric Co Ltd Ordinary JPY </t>
  </si>
  <si>
    <t xml:space="preserve">Subaru Corp Ordinary JPY </t>
  </si>
  <si>
    <t xml:space="preserve">Sugi Holdings Co Ltd Ordinary JPY </t>
  </si>
  <si>
    <t xml:space="preserve">Sumitomo Bakelite Co Ltd Ordinary JPY </t>
  </si>
  <si>
    <t xml:space="preserve">Sumitomo Chemical Co Ltd Ordinary JPY </t>
  </si>
  <si>
    <t xml:space="preserve">Sumitomo Corp Ordinary JPY </t>
  </si>
  <si>
    <t xml:space="preserve">Sumitomo Dainippon Pharma Co L Ordinary JPY </t>
  </si>
  <si>
    <t xml:space="preserve">Sumitomo Electric Industries L Ordinary JPY </t>
  </si>
  <si>
    <t xml:space="preserve">Sumitomo Forestry Co Ltd Ordinary JPY </t>
  </si>
  <si>
    <t xml:space="preserve">Sumitomo Heavy Industries Ltd Ordinary JPY </t>
  </si>
  <si>
    <t xml:space="preserve">Sumitomo Metal Mining Co Ltd Ordinary JPY </t>
  </si>
  <si>
    <t xml:space="preserve">Sumitomo Mitsui Financial Grou Ordinary JPY </t>
  </si>
  <si>
    <t xml:space="preserve">Sumitomo Mitsui Tst Holdings I Ordinary JPY </t>
  </si>
  <si>
    <t xml:space="preserve">Sumitomo Realty &amp; Development Ordinary JPY </t>
  </si>
  <si>
    <t xml:space="preserve">Sumitomo Rubber Industries Ltd Ordinary JPY </t>
  </si>
  <si>
    <t xml:space="preserve">Sundrug Co Ltd Ordinary JPY </t>
  </si>
  <si>
    <t xml:space="preserve">Suntory Beverage &amp; Food Ltd Ordinary JPY </t>
  </si>
  <si>
    <t xml:space="preserve">Suzuken Co Ltd/Aichi Japan Ordinary JPY </t>
  </si>
  <si>
    <t xml:space="preserve">Suzuki Motor Corp Ordinary JPY </t>
  </si>
  <si>
    <t xml:space="preserve">Sysmex Corp Ordinary JPY </t>
  </si>
  <si>
    <t xml:space="preserve">T&amp;D Holdings Inc Ordinary JPY </t>
  </si>
  <si>
    <t xml:space="preserve">TBS Holdings Inc Ordinary JPY </t>
  </si>
  <si>
    <t xml:space="preserve">TDK Corp Ordinary JPY </t>
  </si>
  <si>
    <t xml:space="preserve">THK Co Ltd Ordinary JPY </t>
  </si>
  <si>
    <t xml:space="preserve">TIS Inc Ordinary JPY </t>
  </si>
  <si>
    <t xml:space="preserve">TOPPAN INC Ordinary JPY </t>
  </si>
  <si>
    <t xml:space="preserve">TOTO Ltd Ordinary JPY </t>
  </si>
  <si>
    <t xml:space="preserve">TS Tech Co Ltd Ordinary JPY </t>
  </si>
  <si>
    <t xml:space="preserve">TV Asahi Holdings Corp Ordinary JPY </t>
  </si>
  <si>
    <t xml:space="preserve">Taiheiyo Cement Corp Ordinary JPY </t>
  </si>
  <si>
    <t xml:space="preserve">Taisei Corp Ordinary JPY </t>
  </si>
  <si>
    <t xml:space="preserve">Taisho Pharmaceutical Holdings Ordinary JPY </t>
  </si>
  <si>
    <t xml:space="preserve">Taiyo Yuden Co Ltd Ordinary JPY </t>
  </si>
  <si>
    <t xml:space="preserve">Takara Bio Inc Ordinary JPY </t>
  </si>
  <si>
    <t xml:space="preserve">Takara Holdings Inc Ordinary JPY </t>
  </si>
  <si>
    <t xml:space="preserve">Takashimaya Co Ltd Ordinary JPY </t>
  </si>
  <si>
    <t xml:space="preserve">Takeda Pharmaceutical Co Ltd Ordinary JPY </t>
  </si>
  <si>
    <t xml:space="preserve">TechnoPro Holdings Inc Ordinary JPY </t>
  </si>
  <si>
    <t xml:space="preserve">Teijin Ltd Ordinary JPY </t>
  </si>
  <si>
    <t xml:space="preserve">Terumo Corp Ordinary JPY </t>
  </si>
  <si>
    <t xml:space="preserve">Tobu Railway Co Ltd Ordinary JPY </t>
  </si>
  <si>
    <t xml:space="preserve">Toda Corp Ordinary JPY </t>
  </si>
  <si>
    <t xml:space="preserve">Toho Co Ltd/Tokyo Ordinary JPY </t>
  </si>
  <si>
    <t xml:space="preserve">Toho Gas Co Ltd Ordinary JPY </t>
  </si>
  <si>
    <t xml:space="preserve">Tohoku Electric Power Co Inc Ordinary JPY </t>
  </si>
  <si>
    <t xml:space="preserve">Tokai Carbon Co Ltd Ordinary JPY </t>
  </si>
  <si>
    <t xml:space="preserve">Tokai Rika Co Ltd Ordinary JPY </t>
  </si>
  <si>
    <t xml:space="preserve">Tokio Marine Holdings Inc Ordinary JPY </t>
  </si>
  <si>
    <t xml:space="preserve">Tokuyama Corp Ordinary JPY </t>
  </si>
  <si>
    <t xml:space="preserve">Tokyo Century Corp Ordinary JPY </t>
  </si>
  <si>
    <t xml:space="preserve">Tokyo Electric Power Co Holdin Ordinary JPY </t>
  </si>
  <si>
    <t xml:space="preserve">Tokyo Electron Ltd Ordinary JPY </t>
  </si>
  <si>
    <t xml:space="preserve">Tokyo Gas Co Ltd Ordinary JPY </t>
  </si>
  <si>
    <t xml:space="preserve">Tokyo Ohka Kogyo Co Ltd Ordinary JPY </t>
  </si>
  <si>
    <t xml:space="preserve">Tokyo Tatemono Co Ltd Ordinary JPY </t>
  </si>
  <si>
    <t xml:space="preserve">Tokyu Corp Ordinary JPY </t>
  </si>
  <si>
    <t xml:space="preserve">Tokyu Fudosan Holdings Corp Ordinary JPY </t>
  </si>
  <si>
    <t xml:space="preserve">Toray Industries Inc Ordinary JPY </t>
  </si>
  <si>
    <t xml:space="preserve">Toshiba Corp Ordinary JPY </t>
  </si>
  <si>
    <t xml:space="preserve">Toshiba TEC Corp Ordinary JPY </t>
  </si>
  <si>
    <t xml:space="preserve">Tosoh Corp Ordinary JPY </t>
  </si>
  <si>
    <t xml:space="preserve">Toyo Seikan Group Holdings Ltd Ordinary JPY </t>
  </si>
  <si>
    <t xml:space="preserve">Toyo Suisan Kaisha Ltd Ordinary JPY </t>
  </si>
  <si>
    <t xml:space="preserve">Toyo Tire Corp Ordinary JPY </t>
  </si>
  <si>
    <t xml:space="preserve">Toyoda Gosei Co Ltd Ordinary JPY </t>
  </si>
  <si>
    <t xml:space="preserve">Toyota Boshoku Corp Ordinary JPY </t>
  </si>
  <si>
    <t xml:space="preserve">Toyota Industries Corp Ordinary JPY </t>
  </si>
  <si>
    <t xml:space="preserve">Toyota Motor Corp Ordinary JPY </t>
  </si>
  <si>
    <t xml:space="preserve">Toyota Tsusho Corp Ordinary JPY </t>
  </si>
  <si>
    <t xml:space="preserve">Trend Micro Inc/Japan Ordinary JPY </t>
  </si>
  <si>
    <t xml:space="preserve">Tsumura &amp; Co Ordinary JPY </t>
  </si>
  <si>
    <t xml:space="preserve">Tsuruha Holdings Inc Ordinary JPY </t>
  </si>
  <si>
    <t xml:space="preserve">USS Co Ltd Ordinary JPY </t>
  </si>
  <si>
    <t xml:space="preserve">Ube Industries Ltd Ordinary JPY </t>
  </si>
  <si>
    <t xml:space="preserve">Ulvac Inc Ordinary JPY </t>
  </si>
  <si>
    <t xml:space="preserve">Unicharm Corp Ordinary JPY </t>
  </si>
  <si>
    <t xml:space="preserve">Ushio Inc Ordinary JPY </t>
  </si>
  <si>
    <t xml:space="preserve">Utd Urban Investment Corp REIT JPY </t>
  </si>
  <si>
    <t xml:space="preserve">Welcia Holdings Co Ltd Ordinary JPY </t>
  </si>
  <si>
    <t xml:space="preserve">West Japan Railway Co Ordinary JPY </t>
  </si>
  <si>
    <t xml:space="preserve">Yakult Honsha Co Ltd Ordinary JPY </t>
  </si>
  <si>
    <t xml:space="preserve">Yamada Holdings Co Ltd Ordinary JPY </t>
  </si>
  <si>
    <t xml:space="preserve">Yamaguchi Financial Group Inc Ordinary JPY </t>
  </si>
  <si>
    <t xml:space="preserve">Yamaha Corp Ordinary JPY </t>
  </si>
  <si>
    <t xml:space="preserve">Yamaha Motor Co Ltd Ordinary JPY </t>
  </si>
  <si>
    <t xml:space="preserve">Yamato Holdings Co Ltd Ordinary JPY </t>
  </si>
  <si>
    <t xml:space="preserve">Yamato Kogyo Co Ltd Ordinary JPY </t>
  </si>
  <si>
    <t xml:space="preserve">Yamazaki Baking Co Ltd Ordinary JPY </t>
  </si>
  <si>
    <t xml:space="preserve">Yaoko Co Ltd Ordinary JPY </t>
  </si>
  <si>
    <t xml:space="preserve">Yaskawa Electric Corp Ordinary JPY </t>
  </si>
  <si>
    <t xml:space="preserve">Yokogawa Electric Corp Ordinary JPY </t>
  </si>
  <si>
    <t xml:space="preserve">Yokohama Rubber Co Ltd/The Ordinary JPY </t>
  </si>
  <si>
    <t xml:space="preserve">Z Holdings Corp Ordinary JPY </t>
  </si>
  <si>
    <t xml:space="preserve">ZOZO Inc Ordinary JPY </t>
  </si>
  <si>
    <t xml:space="preserve">Zenkoku Hosho Co Ltd Ordinary JPY </t>
  </si>
  <si>
    <t xml:space="preserve">Zensho Holdings Co Ltd Ordinary JPY </t>
  </si>
  <si>
    <t xml:space="preserve">Zeon Corp Ordinary JPY </t>
  </si>
  <si>
    <t>Derivative</t>
  </si>
  <si>
    <t xml:space="preserve">TSE TOPIX (Tokyo Price Idx) Fu Mar 2022 </t>
  </si>
  <si>
    <t xml:space="preserve">                                                                          </t>
  </si>
  <si>
    <t>USD</t>
  </si>
  <si>
    <t xml:space="preserve">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</si>
</sst>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14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19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20" ht="15">
      <c r="A2" t="s">
        <v>19</v>
      </c>
      <c r="B2" t="s">
        <v>20</v>
      </c>
      <c r="C2" t="str">
        <f aca="true" t="shared" si="0" ref="C2:C65">"31-Dec-21"</f>
        <v>31-Dec-21</v>
      </c>
      <c r="D2" t="s">
        <v>21</v>
      </c>
      <c r="E2" t="s">
        <v>22</v>
      </c>
      <c r="I2" t="s">
        <v>21</v>
      </c>
      <c r="J2">
        <v>1</v>
      </c>
      <c r="K2">
        <v>0</v>
      </c>
      <c r="L2">
        <v>50782.87</v>
      </c>
      <c r="M2">
        <v>50782.87</v>
      </c>
      <c r="N2">
        <v>0</v>
      </c>
      <c r="O2">
        <v>50782.87</v>
      </c>
      <c r="P2">
        <v>50782.87</v>
      </c>
      <c r="Q2">
        <v>0</v>
      </c>
      <c r="R2">
        <v>0</v>
      </c>
      <c r="S2">
        <v>0.028</v>
      </c>
      <c r="T2" t="s">
        <v>23</v>
      </c>
    </row>
    <row r="3" spans="1:20" ht="15">
      <c r="A3" t="s">
        <v>19</v>
      </c>
      <c r="B3" t="s">
        <v>20</v>
      </c>
      <c r="C3" t="str">
        <f t="shared" si="0"/>
        <v>31-Dec-21</v>
      </c>
      <c r="D3" t="s">
        <v>21</v>
      </c>
      <c r="E3" t="s">
        <v>24</v>
      </c>
      <c r="I3" t="s">
        <v>21</v>
      </c>
      <c r="J3">
        <v>1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 t="s">
        <v>25</v>
      </c>
    </row>
    <row r="4" spans="1:20" ht="15">
      <c r="A4" t="s">
        <v>19</v>
      </c>
      <c r="B4" t="s">
        <v>20</v>
      </c>
      <c r="C4" t="str">
        <f t="shared" si="0"/>
        <v>31-Dec-21</v>
      </c>
      <c r="D4" t="s">
        <v>21</v>
      </c>
      <c r="E4" t="s">
        <v>22</v>
      </c>
      <c r="I4" t="s">
        <v>26</v>
      </c>
      <c r="J4">
        <v>1.191039395</v>
      </c>
      <c r="K4">
        <v>0</v>
      </c>
      <c r="L4">
        <v>66.17</v>
      </c>
      <c r="M4">
        <v>77.4</v>
      </c>
      <c r="N4">
        <v>0</v>
      </c>
      <c r="O4">
        <v>66.17</v>
      </c>
      <c r="P4">
        <v>78.81</v>
      </c>
      <c r="Q4">
        <v>0</v>
      </c>
      <c r="R4">
        <v>0</v>
      </c>
      <c r="S4">
        <v>0</v>
      </c>
      <c r="T4" t="s">
        <v>27</v>
      </c>
    </row>
    <row r="5" spans="1:20" ht="15">
      <c r="A5" t="s">
        <v>19</v>
      </c>
      <c r="B5" t="s">
        <v>20</v>
      </c>
      <c r="C5" t="str">
        <f t="shared" si="0"/>
        <v>31-Dec-21</v>
      </c>
      <c r="D5" t="s">
        <v>21</v>
      </c>
      <c r="E5" t="s">
        <v>28</v>
      </c>
      <c r="F5" t="str">
        <f>"6292102"</f>
        <v>6292102</v>
      </c>
      <c r="G5" t="s">
        <v>29</v>
      </c>
      <c r="I5" t="s">
        <v>30</v>
      </c>
      <c r="J5">
        <v>0.007636254</v>
      </c>
      <c r="K5">
        <v>1000</v>
      </c>
      <c r="L5">
        <v>3541859.39</v>
      </c>
      <c r="M5">
        <v>27673.38</v>
      </c>
      <c r="N5">
        <v>4930</v>
      </c>
      <c r="O5">
        <v>4930000</v>
      </c>
      <c r="P5">
        <v>37646.73</v>
      </c>
      <c r="Q5">
        <v>0</v>
      </c>
      <c r="R5">
        <v>0</v>
      </c>
      <c r="S5">
        <v>0.021</v>
      </c>
      <c r="T5" t="s">
        <v>31</v>
      </c>
    </row>
    <row r="6" spans="1:20" ht="15">
      <c r="A6" t="s">
        <v>19</v>
      </c>
      <c r="B6" t="s">
        <v>20</v>
      </c>
      <c r="C6" t="str">
        <f t="shared" si="0"/>
        <v>31-Dec-21</v>
      </c>
      <c r="D6" t="s">
        <v>21</v>
      </c>
      <c r="E6" t="s">
        <v>28</v>
      </c>
      <c r="F6" t="str">
        <f>"6037734"</f>
        <v>6037734</v>
      </c>
      <c r="G6" t="s">
        <v>32</v>
      </c>
      <c r="I6" t="s">
        <v>30</v>
      </c>
      <c r="J6">
        <v>0.007636254</v>
      </c>
      <c r="K6">
        <v>4100</v>
      </c>
      <c r="L6">
        <v>9857293.9</v>
      </c>
      <c r="M6">
        <v>75279.52</v>
      </c>
      <c r="N6">
        <v>1242</v>
      </c>
      <c r="O6">
        <v>5092200</v>
      </c>
      <c r="P6">
        <v>38885.33</v>
      </c>
      <c r="Q6">
        <v>0</v>
      </c>
      <c r="R6">
        <v>0</v>
      </c>
      <c r="S6">
        <v>0.021</v>
      </c>
      <c r="T6" t="s">
        <v>31</v>
      </c>
    </row>
    <row r="7" spans="1:20" ht="15">
      <c r="A7" t="s">
        <v>19</v>
      </c>
      <c r="B7" t="s">
        <v>20</v>
      </c>
      <c r="C7" t="str">
        <f t="shared" si="0"/>
        <v>31-Dec-21</v>
      </c>
      <c r="D7" t="s">
        <v>21</v>
      </c>
      <c r="E7" t="s">
        <v>28</v>
      </c>
      <c r="F7" t="str">
        <f>"BFSSCF9"</f>
        <v>BFSSCF9</v>
      </c>
      <c r="G7" t="s">
        <v>33</v>
      </c>
      <c r="I7" t="s">
        <v>30</v>
      </c>
      <c r="J7">
        <v>0.007636254</v>
      </c>
      <c r="K7">
        <v>52</v>
      </c>
      <c r="L7">
        <v>7626914.75</v>
      </c>
      <c r="M7">
        <v>59090.48</v>
      </c>
      <c r="N7">
        <v>161100</v>
      </c>
      <c r="O7">
        <v>8377200</v>
      </c>
      <c r="P7">
        <v>63970.42</v>
      </c>
      <c r="Q7">
        <v>0</v>
      </c>
      <c r="R7">
        <v>0</v>
      </c>
      <c r="S7">
        <v>0.035</v>
      </c>
      <c r="T7" t="s">
        <v>31</v>
      </c>
    </row>
    <row r="8" spans="1:20" ht="15">
      <c r="A8" t="s">
        <v>19</v>
      </c>
      <c r="B8" t="s">
        <v>20</v>
      </c>
      <c r="C8" t="str">
        <f t="shared" si="0"/>
        <v>31-Dec-21</v>
      </c>
      <c r="D8" t="s">
        <v>21</v>
      </c>
      <c r="E8" t="s">
        <v>28</v>
      </c>
      <c r="F8" t="str">
        <f>"6055208"</f>
        <v>6055208</v>
      </c>
      <c r="G8" t="s">
        <v>34</v>
      </c>
      <c r="I8" t="s">
        <v>30</v>
      </c>
      <c r="J8">
        <v>0.007636254</v>
      </c>
      <c r="K8">
        <v>8400</v>
      </c>
      <c r="L8">
        <v>38032364.22</v>
      </c>
      <c r="M8">
        <v>290998.15</v>
      </c>
      <c r="N8">
        <v>5490</v>
      </c>
      <c r="O8">
        <v>46116000</v>
      </c>
      <c r="P8">
        <v>352153.48</v>
      </c>
      <c r="Q8">
        <v>928200</v>
      </c>
      <c r="R8">
        <v>7087.98</v>
      </c>
      <c r="S8">
        <v>0.198</v>
      </c>
      <c r="T8" t="s">
        <v>31</v>
      </c>
    </row>
    <row r="9" spans="1:20" ht="15">
      <c r="A9" t="s">
        <v>19</v>
      </c>
      <c r="B9" t="s">
        <v>20</v>
      </c>
      <c r="C9" t="str">
        <f t="shared" si="0"/>
        <v>31-Dec-21</v>
      </c>
      <c r="D9" t="s">
        <v>21</v>
      </c>
      <c r="E9" t="s">
        <v>28</v>
      </c>
      <c r="F9" t="str">
        <f>"6014908"</f>
        <v>6014908</v>
      </c>
      <c r="G9" t="s">
        <v>35</v>
      </c>
      <c r="I9" t="s">
        <v>30</v>
      </c>
      <c r="J9">
        <v>0.007636254</v>
      </c>
      <c r="K9">
        <v>7480</v>
      </c>
      <c r="L9">
        <v>22500950.91</v>
      </c>
      <c r="M9">
        <v>178393.02</v>
      </c>
      <c r="N9">
        <v>2404.5</v>
      </c>
      <c r="O9">
        <v>17985660</v>
      </c>
      <c r="P9">
        <v>137343.06</v>
      </c>
      <c r="Q9">
        <v>0</v>
      </c>
      <c r="R9">
        <v>0</v>
      </c>
      <c r="S9">
        <v>0.076</v>
      </c>
      <c r="T9" t="s">
        <v>31</v>
      </c>
    </row>
    <row r="10" spans="1:20" ht="15">
      <c r="A10" t="s">
        <v>19</v>
      </c>
      <c r="B10" t="s">
        <v>20</v>
      </c>
      <c r="C10" t="str">
        <f t="shared" si="0"/>
        <v>31-Dec-21</v>
      </c>
      <c r="D10" t="s">
        <v>21</v>
      </c>
      <c r="E10" t="s">
        <v>28</v>
      </c>
      <c r="F10" t="str">
        <f>"6294498"</f>
        <v>6294498</v>
      </c>
      <c r="G10" t="s">
        <v>36</v>
      </c>
      <c r="I10" t="s">
        <v>30</v>
      </c>
      <c r="J10">
        <v>0.007636254</v>
      </c>
      <c r="K10">
        <v>2600</v>
      </c>
      <c r="L10">
        <v>5399869.28</v>
      </c>
      <c r="M10">
        <v>43055.81</v>
      </c>
      <c r="N10">
        <v>1534</v>
      </c>
      <c r="O10">
        <v>3988400</v>
      </c>
      <c r="P10">
        <v>30456.43</v>
      </c>
      <c r="Q10">
        <v>33150</v>
      </c>
      <c r="R10">
        <v>253.14</v>
      </c>
      <c r="S10">
        <v>0.017</v>
      </c>
      <c r="T10" t="s">
        <v>31</v>
      </c>
    </row>
    <row r="11" spans="1:20" ht="15">
      <c r="A11" t="s">
        <v>19</v>
      </c>
      <c r="B11" t="s">
        <v>20</v>
      </c>
      <c r="C11" t="str">
        <f t="shared" si="0"/>
        <v>31-Dec-21</v>
      </c>
      <c r="D11" t="s">
        <v>21</v>
      </c>
      <c r="E11" t="s">
        <v>28</v>
      </c>
      <c r="F11" t="str">
        <f>"6049784"</f>
        <v>6049784</v>
      </c>
      <c r="G11" t="s">
        <v>37</v>
      </c>
      <c r="I11" t="s">
        <v>30</v>
      </c>
      <c r="J11">
        <v>0.007636254</v>
      </c>
      <c r="K11">
        <v>18300</v>
      </c>
      <c r="L11">
        <v>6212532.86</v>
      </c>
      <c r="M11">
        <v>50244.56</v>
      </c>
      <c r="N11">
        <v>331</v>
      </c>
      <c r="O11">
        <v>6057300</v>
      </c>
      <c r="P11">
        <v>46255.08</v>
      </c>
      <c r="Q11">
        <v>0</v>
      </c>
      <c r="R11">
        <v>0</v>
      </c>
      <c r="S11">
        <v>0.025</v>
      </c>
      <c r="T11" t="s">
        <v>31</v>
      </c>
    </row>
    <row r="12" spans="1:20" ht="15">
      <c r="A12" t="s">
        <v>19</v>
      </c>
      <c r="B12" t="s">
        <v>20</v>
      </c>
      <c r="C12" t="str">
        <f t="shared" si="0"/>
        <v>31-Dec-21</v>
      </c>
      <c r="D12" t="s">
        <v>21</v>
      </c>
      <c r="E12" t="s">
        <v>28</v>
      </c>
      <c r="F12" t="str">
        <f>"B8BSRY1"</f>
        <v>B8BSRY1</v>
      </c>
      <c r="G12" t="s">
        <v>38</v>
      </c>
      <c r="I12" t="s">
        <v>30</v>
      </c>
      <c r="J12">
        <v>0.007636254</v>
      </c>
      <c r="K12">
        <v>33</v>
      </c>
      <c r="L12">
        <v>14557202.69</v>
      </c>
      <c r="M12">
        <v>113973.94</v>
      </c>
      <c r="N12">
        <v>416000</v>
      </c>
      <c r="O12">
        <v>13728000</v>
      </c>
      <c r="P12">
        <v>104830.49</v>
      </c>
      <c r="Q12">
        <v>262267.5</v>
      </c>
      <c r="R12">
        <v>2002.74</v>
      </c>
      <c r="S12">
        <v>0.059</v>
      </c>
      <c r="T12" t="s">
        <v>31</v>
      </c>
    </row>
    <row r="13" spans="1:20" ht="15">
      <c r="A13" t="s">
        <v>19</v>
      </c>
      <c r="B13" t="s">
        <v>20</v>
      </c>
      <c r="C13" t="str">
        <f t="shared" si="0"/>
        <v>31-Dec-21</v>
      </c>
      <c r="D13" t="s">
        <v>21</v>
      </c>
      <c r="E13" t="s">
        <v>28</v>
      </c>
      <c r="F13" t="str">
        <f>"B62WZW2"</f>
        <v>B62WZW2</v>
      </c>
      <c r="G13" t="s">
        <v>39</v>
      </c>
      <c r="I13" t="s">
        <v>30</v>
      </c>
      <c r="J13">
        <v>0.007636254</v>
      </c>
      <c r="K13">
        <v>61</v>
      </c>
      <c r="L13">
        <v>19717173.99</v>
      </c>
      <c r="M13">
        <v>154729.37</v>
      </c>
      <c r="N13">
        <v>380000</v>
      </c>
      <c r="O13">
        <v>23180000</v>
      </c>
      <c r="P13">
        <v>177008.36</v>
      </c>
      <c r="Q13">
        <v>0</v>
      </c>
      <c r="R13">
        <v>0</v>
      </c>
      <c r="S13">
        <v>0.098</v>
      </c>
      <c r="T13" t="s">
        <v>31</v>
      </c>
    </row>
    <row r="14" spans="1:20" ht="15">
      <c r="A14" t="s">
        <v>19</v>
      </c>
      <c r="B14" t="s">
        <v>20</v>
      </c>
      <c r="C14" t="str">
        <f t="shared" si="0"/>
        <v>31-Dec-21</v>
      </c>
      <c r="D14" t="s">
        <v>21</v>
      </c>
      <c r="E14" t="s">
        <v>28</v>
      </c>
      <c r="F14" t="str">
        <f>"6870490"</f>
        <v>6870490</v>
      </c>
      <c r="G14" t="s">
        <v>40</v>
      </c>
      <c r="I14" t="s">
        <v>30</v>
      </c>
      <c r="J14">
        <v>0.007636254</v>
      </c>
      <c r="K14">
        <v>9300</v>
      </c>
      <c r="L14">
        <v>25798967.89</v>
      </c>
      <c r="M14">
        <v>190667.61</v>
      </c>
      <c r="N14">
        <v>10900</v>
      </c>
      <c r="O14">
        <v>101370000</v>
      </c>
      <c r="P14">
        <v>774087.04</v>
      </c>
      <c r="Q14">
        <v>0</v>
      </c>
      <c r="R14">
        <v>0</v>
      </c>
      <c r="S14">
        <v>0.427</v>
      </c>
      <c r="T14" t="s">
        <v>31</v>
      </c>
    </row>
    <row r="15" spans="1:20" ht="15">
      <c r="A15" t="s">
        <v>19</v>
      </c>
      <c r="B15" t="s">
        <v>20</v>
      </c>
      <c r="C15" t="str">
        <f t="shared" si="0"/>
        <v>31-Dec-21</v>
      </c>
      <c r="D15" t="s">
        <v>21</v>
      </c>
      <c r="E15" t="s">
        <v>28</v>
      </c>
      <c r="F15" t="str">
        <f>"6480048"</f>
        <v>6480048</v>
      </c>
      <c r="G15" t="s">
        <v>41</v>
      </c>
      <c r="I15" t="s">
        <v>30</v>
      </c>
      <c r="J15">
        <v>0.007636254</v>
      </c>
      <c r="K15">
        <v>31900</v>
      </c>
      <c r="L15">
        <v>47972478.48</v>
      </c>
      <c r="M15">
        <v>364017.08</v>
      </c>
      <c r="N15">
        <v>2709</v>
      </c>
      <c r="O15">
        <v>86417100</v>
      </c>
      <c r="P15">
        <v>659902.9</v>
      </c>
      <c r="Q15">
        <v>0</v>
      </c>
      <c r="R15">
        <v>0</v>
      </c>
      <c r="S15">
        <v>0.364</v>
      </c>
      <c r="T15" t="s">
        <v>31</v>
      </c>
    </row>
    <row r="16" spans="1:20" ht="15">
      <c r="A16" t="s">
        <v>19</v>
      </c>
      <c r="B16" t="s">
        <v>20</v>
      </c>
      <c r="C16" t="str">
        <f t="shared" si="0"/>
        <v>31-Dec-21</v>
      </c>
      <c r="D16" t="s">
        <v>21</v>
      </c>
      <c r="E16" t="s">
        <v>28</v>
      </c>
      <c r="F16" t="str">
        <f>"6534202"</f>
        <v>6534202</v>
      </c>
      <c r="G16" t="s">
        <v>42</v>
      </c>
      <c r="I16" t="s">
        <v>30</v>
      </c>
      <c r="J16">
        <v>0.007636254</v>
      </c>
      <c r="K16">
        <v>6000</v>
      </c>
      <c r="L16">
        <v>13718088.68</v>
      </c>
      <c r="M16">
        <v>106172.66</v>
      </c>
      <c r="N16">
        <v>1641</v>
      </c>
      <c r="O16">
        <v>9846000</v>
      </c>
      <c r="P16">
        <v>75186.55</v>
      </c>
      <c r="Q16">
        <v>0</v>
      </c>
      <c r="R16">
        <v>0</v>
      </c>
      <c r="S16">
        <v>0.041</v>
      </c>
      <c r="T16" t="s">
        <v>31</v>
      </c>
    </row>
    <row r="17" spans="1:20" ht="15">
      <c r="A17" t="s">
        <v>19</v>
      </c>
      <c r="B17" t="s">
        <v>20</v>
      </c>
      <c r="C17" t="str">
        <f t="shared" si="0"/>
        <v>31-Dec-21</v>
      </c>
      <c r="D17" t="s">
        <v>21</v>
      </c>
      <c r="E17" t="s">
        <v>28</v>
      </c>
      <c r="F17" t="str">
        <f>"6010047"</f>
        <v>6010047</v>
      </c>
      <c r="G17" t="s">
        <v>43</v>
      </c>
      <c r="I17" t="s">
        <v>30</v>
      </c>
      <c r="J17">
        <v>0.007636254</v>
      </c>
      <c r="K17">
        <v>2700</v>
      </c>
      <c r="L17">
        <v>9862025.56</v>
      </c>
      <c r="M17">
        <v>74235.03</v>
      </c>
      <c r="N17">
        <v>3325</v>
      </c>
      <c r="O17">
        <v>8977500</v>
      </c>
      <c r="P17">
        <v>68554.47</v>
      </c>
      <c r="Q17">
        <v>0</v>
      </c>
      <c r="R17">
        <v>0</v>
      </c>
      <c r="S17">
        <v>0.038</v>
      </c>
      <c r="T17" t="s">
        <v>31</v>
      </c>
    </row>
    <row r="18" spans="1:20" ht="15">
      <c r="A18" t="s">
        <v>19</v>
      </c>
      <c r="B18" t="s">
        <v>20</v>
      </c>
      <c r="C18" t="str">
        <f t="shared" si="0"/>
        <v>31-Dec-21</v>
      </c>
      <c r="D18" t="s">
        <v>21</v>
      </c>
      <c r="E18" t="s">
        <v>28</v>
      </c>
      <c r="F18" t="str">
        <f>"6249120"</f>
        <v>6249120</v>
      </c>
      <c r="G18" t="s">
        <v>44</v>
      </c>
      <c r="I18" t="s">
        <v>30</v>
      </c>
      <c r="J18">
        <v>0.007636254</v>
      </c>
      <c r="K18">
        <v>1400</v>
      </c>
      <c r="L18">
        <v>9291966.64</v>
      </c>
      <c r="M18">
        <v>75272.26</v>
      </c>
      <c r="N18">
        <v>5730</v>
      </c>
      <c r="O18">
        <v>8022000</v>
      </c>
      <c r="P18">
        <v>61258.03</v>
      </c>
      <c r="Q18">
        <v>0</v>
      </c>
      <c r="R18">
        <v>0</v>
      </c>
      <c r="S18">
        <v>0.034</v>
      </c>
      <c r="T18" t="s">
        <v>31</v>
      </c>
    </row>
    <row r="19" spans="1:20" ht="15">
      <c r="A19" t="s">
        <v>19</v>
      </c>
      <c r="B19" t="s">
        <v>20</v>
      </c>
      <c r="C19" t="str">
        <f t="shared" si="0"/>
        <v>31-Dec-21</v>
      </c>
      <c r="D19" t="s">
        <v>21</v>
      </c>
      <c r="E19" t="s">
        <v>28</v>
      </c>
      <c r="F19" t="str">
        <f>"6441465"</f>
        <v>6441465</v>
      </c>
      <c r="G19" t="s">
        <v>45</v>
      </c>
      <c r="I19" t="s">
        <v>30</v>
      </c>
      <c r="J19">
        <v>0.007636254</v>
      </c>
      <c r="K19">
        <v>7195</v>
      </c>
      <c r="L19">
        <v>11093128.4</v>
      </c>
      <c r="M19">
        <v>86987.25</v>
      </c>
      <c r="N19">
        <v>1776</v>
      </c>
      <c r="O19">
        <v>12778320</v>
      </c>
      <c r="P19">
        <v>97578.49</v>
      </c>
      <c r="Q19">
        <v>0</v>
      </c>
      <c r="R19">
        <v>0</v>
      </c>
      <c r="S19">
        <v>0.054</v>
      </c>
      <c r="T19" t="s">
        <v>31</v>
      </c>
    </row>
    <row r="20" spans="1:20" ht="15">
      <c r="A20" t="s">
        <v>19</v>
      </c>
      <c r="B20" t="s">
        <v>20</v>
      </c>
      <c r="C20" t="str">
        <f t="shared" si="0"/>
        <v>31-Dec-21</v>
      </c>
      <c r="D20" t="s">
        <v>21</v>
      </c>
      <c r="E20" t="s">
        <v>28</v>
      </c>
      <c r="F20" t="str">
        <f>"6010702"</f>
        <v>6010702</v>
      </c>
      <c r="G20" t="s">
        <v>46</v>
      </c>
      <c r="I20" t="s">
        <v>30</v>
      </c>
      <c r="J20">
        <v>0.007636254</v>
      </c>
      <c r="K20">
        <v>8300</v>
      </c>
      <c r="L20">
        <v>32761453.98</v>
      </c>
      <c r="M20">
        <v>255521.39</v>
      </c>
      <c r="N20">
        <v>4410</v>
      </c>
      <c r="O20">
        <v>36603000</v>
      </c>
      <c r="P20">
        <v>279509.79</v>
      </c>
      <c r="Q20">
        <v>0</v>
      </c>
      <c r="R20">
        <v>0</v>
      </c>
      <c r="S20">
        <v>0.154</v>
      </c>
      <c r="T20" t="s">
        <v>31</v>
      </c>
    </row>
    <row r="21" spans="1:20" ht="15">
      <c r="A21" t="s">
        <v>19</v>
      </c>
      <c r="B21" t="s">
        <v>20</v>
      </c>
      <c r="C21" t="str">
        <f t="shared" si="0"/>
        <v>31-Dec-21</v>
      </c>
      <c r="D21" t="s">
        <v>21</v>
      </c>
      <c r="E21" t="s">
        <v>28</v>
      </c>
      <c r="F21" t="str">
        <f>"6010906"</f>
        <v>6010906</v>
      </c>
      <c r="G21" t="s">
        <v>47</v>
      </c>
      <c r="I21" t="s">
        <v>30</v>
      </c>
      <c r="J21">
        <v>0.007636254</v>
      </c>
      <c r="K21">
        <v>22900</v>
      </c>
      <c r="L21">
        <v>35401856.29</v>
      </c>
      <c r="M21">
        <v>277554.22</v>
      </c>
      <c r="N21">
        <v>3497</v>
      </c>
      <c r="O21">
        <v>80081300</v>
      </c>
      <c r="P21">
        <v>611521.12</v>
      </c>
      <c r="Q21">
        <v>0</v>
      </c>
      <c r="R21">
        <v>0</v>
      </c>
      <c r="S21">
        <v>0.337</v>
      </c>
      <c r="T21" t="s">
        <v>31</v>
      </c>
    </row>
    <row r="22" spans="1:20" ht="15">
      <c r="A22" t="s">
        <v>19</v>
      </c>
      <c r="B22" t="s">
        <v>20</v>
      </c>
      <c r="C22" t="str">
        <f t="shared" si="0"/>
        <v>31-Dec-21</v>
      </c>
      <c r="D22" t="s">
        <v>21</v>
      </c>
      <c r="E22" t="s">
        <v>28</v>
      </c>
      <c r="F22" t="str">
        <f>"6687214"</f>
        <v>6687214</v>
      </c>
      <c r="G22" t="s">
        <v>48</v>
      </c>
      <c r="I22" t="s">
        <v>30</v>
      </c>
      <c r="J22">
        <v>0.007636254</v>
      </c>
      <c r="K22">
        <v>8000</v>
      </c>
      <c r="L22">
        <v>11115455.95</v>
      </c>
      <c r="M22">
        <v>88102.42</v>
      </c>
      <c r="N22">
        <v>1533</v>
      </c>
      <c r="O22">
        <v>12264000</v>
      </c>
      <c r="P22">
        <v>93651.02</v>
      </c>
      <c r="Q22">
        <v>0</v>
      </c>
      <c r="R22">
        <v>0</v>
      </c>
      <c r="S22">
        <v>0.052</v>
      </c>
      <c r="T22" t="s">
        <v>31</v>
      </c>
    </row>
    <row r="23" spans="1:20" ht="15">
      <c r="A23" t="s">
        <v>19</v>
      </c>
      <c r="B23" t="s">
        <v>20</v>
      </c>
      <c r="C23" t="str">
        <f t="shared" si="0"/>
        <v>31-Dec-21</v>
      </c>
      <c r="D23" t="s">
        <v>21</v>
      </c>
      <c r="E23" t="s">
        <v>28</v>
      </c>
      <c r="F23" t="str">
        <f>"6021500"</f>
        <v>6021500</v>
      </c>
      <c r="G23" t="s">
        <v>49</v>
      </c>
      <c r="I23" t="s">
        <v>30</v>
      </c>
      <c r="J23">
        <v>0.007636254</v>
      </c>
      <c r="K23">
        <v>8700</v>
      </c>
      <c r="L23">
        <v>13433329.61</v>
      </c>
      <c r="M23">
        <v>103198.17</v>
      </c>
      <c r="N23">
        <v>1085</v>
      </c>
      <c r="O23">
        <v>9439500</v>
      </c>
      <c r="P23">
        <v>72082.42</v>
      </c>
      <c r="Q23">
        <v>0</v>
      </c>
      <c r="R23">
        <v>0</v>
      </c>
      <c r="S23">
        <v>0.04</v>
      </c>
      <c r="T23" t="s">
        <v>31</v>
      </c>
    </row>
    <row r="24" spans="1:20" ht="15">
      <c r="A24" t="s">
        <v>19</v>
      </c>
      <c r="B24" t="s">
        <v>20</v>
      </c>
      <c r="C24" t="str">
        <f t="shared" si="0"/>
        <v>31-Dec-21</v>
      </c>
      <c r="D24" t="s">
        <v>21</v>
      </c>
      <c r="E24" t="s">
        <v>28</v>
      </c>
      <c r="F24" t="str">
        <f>"6022105"</f>
        <v>6022105</v>
      </c>
      <c r="G24" t="s">
        <v>50</v>
      </c>
      <c r="I24" t="s">
        <v>30</v>
      </c>
      <c r="J24">
        <v>0.007636254</v>
      </c>
      <c r="K24">
        <v>14500</v>
      </c>
      <c r="L24">
        <v>13744129.74</v>
      </c>
      <c r="M24">
        <v>106624.64</v>
      </c>
      <c r="N24">
        <v>1139</v>
      </c>
      <c r="O24">
        <v>16515500</v>
      </c>
      <c r="P24">
        <v>126116.55</v>
      </c>
      <c r="Q24">
        <v>0</v>
      </c>
      <c r="R24">
        <v>0</v>
      </c>
      <c r="S24">
        <v>0.07</v>
      </c>
      <c r="T24" t="s">
        <v>31</v>
      </c>
    </row>
    <row r="25" spans="1:20" ht="15">
      <c r="A25" t="s">
        <v>19</v>
      </c>
      <c r="B25" t="s">
        <v>20</v>
      </c>
      <c r="C25" t="str">
        <f t="shared" si="0"/>
        <v>31-Dec-21</v>
      </c>
      <c r="D25" t="s">
        <v>21</v>
      </c>
      <c r="E25" t="s">
        <v>28</v>
      </c>
      <c r="F25" t="str">
        <f>"6027304"</f>
        <v>6027304</v>
      </c>
      <c r="G25" t="s">
        <v>51</v>
      </c>
      <c r="I25" t="s">
        <v>30</v>
      </c>
      <c r="J25">
        <v>0.007636254</v>
      </c>
      <c r="K25">
        <v>2800</v>
      </c>
      <c r="L25">
        <v>9118431</v>
      </c>
      <c r="M25">
        <v>76752.48</v>
      </c>
      <c r="N25">
        <v>2647</v>
      </c>
      <c r="O25">
        <v>7411600</v>
      </c>
      <c r="P25">
        <v>56596.86</v>
      </c>
      <c r="Q25">
        <v>0</v>
      </c>
      <c r="R25">
        <v>0</v>
      </c>
      <c r="S25">
        <v>0.031</v>
      </c>
      <c r="T25" t="s">
        <v>31</v>
      </c>
    </row>
    <row r="26" spans="1:20" ht="15">
      <c r="A26" t="s">
        <v>19</v>
      </c>
      <c r="B26" t="s">
        <v>20</v>
      </c>
      <c r="C26" t="str">
        <f t="shared" si="0"/>
        <v>31-Dec-21</v>
      </c>
      <c r="D26" t="s">
        <v>21</v>
      </c>
      <c r="E26" t="s">
        <v>28</v>
      </c>
      <c r="F26" t="str">
        <f>"6044109"</f>
        <v>6044109</v>
      </c>
      <c r="G26" t="s">
        <v>52</v>
      </c>
      <c r="I26" t="s">
        <v>30</v>
      </c>
      <c r="J26">
        <v>0.007636254</v>
      </c>
      <c r="K26">
        <v>6200</v>
      </c>
      <c r="L26">
        <v>13256347.1</v>
      </c>
      <c r="M26">
        <v>111582.52</v>
      </c>
      <c r="N26">
        <v>1777</v>
      </c>
      <c r="O26">
        <v>11017400</v>
      </c>
      <c r="P26">
        <v>84131.66</v>
      </c>
      <c r="Q26">
        <v>0</v>
      </c>
      <c r="R26">
        <v>0</v>
      </c>
      <c r="S26">
        <v>0.046</v>
      </c>
      <c r="T26" t="s">
        <v>31</v>
      </c>
    </row>
    <row r="27" spans="1:20" ht="15">
      <c r="A27" t="s">
        <v>19</v>
      </c>
      <c r="B27" t="s">
        <v>20</v>
      </c>
      <c r="C27" t="str">
        <f t="shared" si="0"/>
        <v>31-Dec-21</v>
      </c>
      <c r="D27" t="s">
        <v>21</v>
      </c>
      <c r="E27" t="s">
        <v>28</v>
      </c>
      <c r="F27" t="str">
        <f>"B1G1854"</f>
        <v>B1G1854</v>
      </c>
      <c r="G27" t="s">
        <v>53</v>
      </c>
      <c r="I27" t="s">
        <v>30</v>
      </c>
      <c r="J27">
        <v>0.007636254</v>
      </c>
      <c r="K27">
        <v>4858</v>
      </c>
      <c r="L27">
        <v>15766632.66</v>
      </c>
      <c r="M27">
        <v>123112.36</v>
      </c>
      <c r="N27">
        <v>2518</v>
      </c>
      <c r="O27">
        <v>12232444</v>
      </c>
      <c r="P27">
        <v>93410.05</v>
      </c>
      <c r="Q27">
        <v>132137.6</v>
      </c>
      <c r="R27">
        <v>1009.03</v>
      </c>
      <c r="S27">
        <v>0.052</v>
      </c>
      <c r="T27" t="s">
        <v>31</v>
      </c>
    </row>
    <row r="28" spans="1:20" ht="15">
      <c r="A28" t="s">
        <v>19</v>
      </c>
      <c r="B28" t="s">
        <v>20</v>
      </c>
      <c r="C28" t="str">
        <f t="shared" si="0"/>
        <v>31-Dec-21</v>
      </c>
      <c r="D28" t="s">
        <v>21</v>
      </c>
      <c r="E28" t="s">
        <v>28</v>
      </c>
      <c r="F28" t="str">
        <f>"6049632"</f>
        <v>6049632</v>
      </c>
      <c r="G28" t="s">
        <v>54</v>
      </c>
      <c r="I28" t="s">
        <v>30</v>
      </c>
      <c r="J28">
        <v>0.007636254</v>
      </c>
      <c r="K28">
        <v>700</v>
      </c>
      <c r="L28">
        <v>4586012.3</v>
      </c>
      <c r="M28">
        <v>38710.9</v>
      </c>
      <c r="N28">
        <v>6240</v>
      </c>
      <c r="O28">
        <v>4368000</v>
      </c>
      <c r="P28">
        <v>33355.16</v>
      </c>
      <c r="Q28">
        <v>0</v>
      </c>
      <c r="R28">
        <v>0</v>
      </c>
      <c r="S28">
        <v>0.018</v>
      </c>
      <c r="T28" t="s">
        <v>31</v>
      </c>
    </row>
    <row r="29" spans="1:20" ht="15">
      <c r="A29" t="s">
        <v>19</v>
      </c>
      <c r="B29" t="s">
        <v>20</v>
      </c>
      <c r="C29" t="str">
        <f t="shared" si="0"/>
        <v>31-Dec-21</v>
      </c>
      <c r="D29" t="s">
        <v>21</v>
      </c>
      <c r="E29" t="s">
        <v>28</v>
      </c>
      <c r="F29" t="str">
        <f>"6480929"</f>
        <v>6480929</v>
      </c>
      <c r="G29" t="s">
        <v>55</v>
      </c>
      <c r="I29" t="s">
        <v>30</v>
      </c>
      <c r="J29">
        <v>0.007636254</v>
      </c>
      <c r="K29">
        <v>1200</v>
      </c>
      <c r="L29">
        <v>8809761.43</v>
      </c>
      <c r="M29">
        <v>71201.82</v>
      </c>
      <c r="N29">
        <v>7710</v>
      </c>
      <c r="O29">
        <v>9252000</v>
      </c>
      <c r="P29">
        <v>70650.62</v>
      </c>
      <c r="Q29">
        <v>0</v>
      </c>
      <c r="R29">
        <v>0</v>
      </c>
      <c r="S29">
        <v>0.039</v>
      </c>
      <c r="T29" t="s">
        <v>31</v>
      </c>
    </row>
    <row r="30" spans="1:20" ht="15">
      <c r="A30" t="s">
        <v>19</v>
      </c>
      <c r="B30" t="s">
        <v>20</v>
      </c>
      <c r="C30" t="str">
        <f t="shared" si="0"/>
        <v>31-Dec-21</v>
      </c>
      <c r="D30" t="s">
        <v>21</v>
      </c>
      <c r="E30" t="s">
        <v>28</v>
      </c>
      <c r="F30" t="str">
        <f>"6054409"</f>
        <v>6054409</v>
      </c>
      <c r="G30" t="s">
        <v>56</v>
      </c>
      <c r="I30" t="s">
        <v>30</v>
      </c>
      <c r="J30">
        <v>0.007636254</v>
      </c>
      <c r="K30">
        <v>19700</v>
      </c>
      <c r="L30">
        <v>59472619.42</v>
      </c>
      <c r="M30">
        <v>472446.42</v>
      </c>
      <c r="N30">
        <v>4474</v>
      </c>
      <c r="O30">
        <v>88137800</v>
      </c>
      <c r="P30">
        <v>673042.6</v>
      </c>
      <c r="Q30">
        <v>920975</v>
      </c>
      <c r="R30">
        <v>7032.8</v>
      </c>
      <c r="S30">
        <v>0.375</v>
      </c>
      <c r="T30" t="s">
        <v>31</v>
      </c>
    </row>
    <row r="31" spans="1:20" ht="15">
      <c r="A31" t="s">
        <v>19</v>
      </c>
      <c r="B31" t="s">
        <v>20</v>
      </c>
      <c r="C31" t="str">
        <f t="shared" si="0"/>
        <v>31-Dec-21</v>
      </c>
      <c r="D31" t="s">
        <v>21</v>
      </c>
      <c r="E31" t="s">
        <v>28</v>
      </c>
      <c r="F31" t="str">
        <f>"B019MQ5"</f>
        <v>B019MQ5</v>
      </c>
      <c r="G31" t="s">
        <v>57</v>
      </c>
      <c r="I31" t="s">
        <v>30</v>
      </c>
      <c r="J31">
        <v>0.007636254</v>
      </c>
      <c r="K31">
        <v>9100</v>
      </c>
      <c r="L31">
        <v>13767265.49</v>
      </c>
      <c r="M31">
        <v>105929.75</v>
      </c>
      <c r="N31">
        <v>2471</v>
      </c>
      <c r="O31">
        <v>22486100</v>
      </c>
      <c r="P31">
        <v>171709.56</v>
      </c>
      <c r="Q31">
        <v>0</v>
      </c>
      <c r="R31">
        <v>0</v>
      </c>
      <c r="S31">
        <v>0.095</v>
      </c>
      <c r="T31" t="s">
        <v>31</v>
      </c>
    </row>
    <row r="32" spans="1:20" ht="15">
      <c r="A32" t="s">
        <v>19</v>
      </c>
      <c r="B32" t="s">
        <v>20</v>
      </c>
      <c r="C32" t="str">
        <f t="shared" si="0"/>
        <v>31-Dec-21</v>
      </c>
      <c r="D32" t="s">
        <v>21</v>
      </c>
      <c r="E32" t="s">
        <v>28</v>
      </c>
      <c r="F32" t="str">
        <f>"6054603"</f>
        <v>6054603</v>
      </c>
      <c r="G32" t="s">
        <v>58</v>
      </c>
      <c r="I32" t="s">
        <v>30</v>
      </c>
      <c r="J32">
        <v>0.007636254</v>
      </c>
      <c r="K32">
        <v>56800</v>
      </c>
      <c r="L32">
        <v>46728717.27</v>
      </c>
      <c r="M32">
        <v>365042.75</v>
      </c>
      <c r="N32">
        <v>1081</v>
      </c>
      <c r="O32">
        <v>61400800</v>
      </c>
      <c r="P32">
        <v>468872.09</v>
      </c>
      <c r="Q32">
        <v>0</v>
      </c>
      <c r="R32">
        <v>0</v>
      </c>
      <c r="S32">
        <v>0.258</v>
      </c>
      <c r="T32" t="s">
        <v>31</v>
      </c>
    </row>
    <row r="33" spans="1:20" ht="15">
      <c r="A33" t="s">
        <v>19</v>
      </c>
      <c r="B33" t="s">
        <v>20</v>
      </c>
      <c r="C33" t="str">
        <f t="shared" si="0"/>
        <v>31-Dec-21</v>
      </c>
      <c r="D33" t="s">
        <v>21</v>
      </c>
      <c r="E33" t="s">
        <v>28</v>
      </c>
      <c r="F33" t="str">
        <f>"6057378"</f>
        <v>6057378</v>
      </c>
      <c r="G33" t="s">
        <v>59</v>
      </c>
      <c r="I33" t="s">
        <v>30</v>
      </c>
      <c r="J33">
        <v>0.007636254</v>
      </c>
      <c r="K33">
        <v>8100</v>
      </c>
      <c r="L33">
        <v>11616151.86</v>
      </c>
      <c r="M33">
        <v>91378.4</v>
      </c>
      <c r="N33">
        <v>2550</v>
      </c>
      <c r="O33">
        <v>20655000</v>
      </c>
      <c r="P33">
        <v>157726.82</v>
      </c>
      <c r="Q33">
        <v>82620</v>
      </c>
      <c r="R33">
        <v>630.9</v>
      </c>
      <c r="S33">
        <v>0.087</v>
      </c>
      <c r="T33" t="s">
        <v>31</v>
      </c>
    </row>
    <row r="34" spans="1:20" ht="15">
      <c r="A34" t="s">
        <v>19</v>
      </c>
      <c r="B34" t="s">
        <v>20</v>
      </c>
      <c r="C34" t="str">
        <f t="shared" si="0"/>
        <v>31-Dec-21</v>
      </c>
      <c r="D34" t="s">
        <v>21</v>
      </c>
      <c r="E34" t="s">
        <v>28</v>
      </c>
      <c r="F34" t="str">
        <f>"6985383"</f>
        <v>6985383</v>
      </c>
      <c r="G34" t="s">
        <v>60</v>
      </c>
      <c r="I34" t="s">
        <v>30</v>
      </c>
      <c r="J34">
        <v>0.007636254</v>
      </c>
      <c r="K34">
        <v>87000</v>
      </c>
      <c r="L34">
        <v>90820455.3</v>
      </c>
      <c r="M34">
        <v>714330.19</v>
      </c>
      <c r="N34">
        <v>1870.5</v>
      </c>
      <c r="O34">
        <v>162733500</v>
      </c>
      <c r="P34">
        <v>1242674.29</v>
      </c>
      <c r="Q34">
        <v>0</v>
      </c>
      <c r="R34">
        <v>0</v>
      </c>
      <c r="S34">
        <v>0.685</v>
      </c>
      <c r="T34" t="s">
        <v>31</v>
      </c>
    </row>
    <row r="35" spans="1:20" ht="15">
      <c r="A35" t="s">
        <v>19</v>
      </c>
      <c r="B35" t="s">
        <v>20</v>
      </c>
      <c r="C35" t="str">
        <f t="shared" si="0"/>
        <v>31-Dec-21</v>
      </c>
      <c r="D35" t="s">
        <v>21</v>
      </c>
      <c r="E35" t="s">
        <v>28</v>
      </c>
      <c r="F35" t="str">
        <f>"6985543"</f>
        <v>6985543</v>
      </c>
      <c r="G35" t="s">
        <v>61</v>
      </c>
      <c r="I35" t="s">
        <v>30</v>
      </c>
      <c r="J35">
        <v>0.007636254</v>
      </c>
      <c r="K35">
        <v>6000</v>
      </c>
      <c r="L35">
        <v>8118226.86</v>
      </c>
      <c r="M35">
        <v>61456.78</v>
      </c>
      <c r="N35">
        <v>5240</v>
      </c>
      <c r="O35">
        <v>31440000</v>
      </c>
      <c r="P35">
        <v>240083.82</v>
      </c>
      <c r="Q35">
        <v>0</v>
      </c>
      <c r="R35">
        <v>0</v>
      </c>
      <c r="S35">
        <v>0.132</v>
      </c>
      <c r="T35" t="s">
        <v>31</v>
      </c>
    </row>
    <row r="36" spans="1:20" ht="15">
      <c r="A36" t="s">
        <v>19</v>
      </c>
      <c r="B36" t="s">
        <v>20</v>
      </c>
      <c r="C36" t="str">
        <f t="shared" si="0"/>
        <v>31-Dec-21</v>
      </c>
      <c r="D36" t="s">
        <v>21</v>
      </c>
      <c r="E36" t="s">
        <v>28</v>
      </c>
      <c r="F36" t="str">
        <f>"B0JDQD4"</f>
        <v>B0JDQD4</v>
      </c>
      <c r="G36" t="s">
        <v>62</v>
      </c>
      <c r="I36" t="s">
        <v>30</v>
      </c>
      <c r="J36">
        <v>0.007636254</v>
      </c>
      <c r="K36">
        <v>9100</v>
      </c>
      <c r="L36">
        <v>21690384.71</v>
      </c>
      <c r="M36">
        <v>168398.01</v>
      </c>
      <c r="N36">
        <v>8994</v>
      </c>
      <c r="O36">
        <v>81845400</v>
      </c>
      <c r="P36">
        <v>624992.24</v>
      </c>
      <c r="Q36">
        <v>0</v>
      </c>
      <c r="R36">
        <v>0</v>
      </c>
      <c r="S36">
        <v>0.345</v>
      </c>
      <c r="T36" t="s">
        <v>31</v>
      </c>
    </row>
    <row r="37" spans="1:20" ht="15">
      <c r="A37" t="s">
        <v>19</v>
      </c>
      <c r="B37" t="s">
        <v>20</v>
      </c>
      <c r="C37" t="str">
        <f t="shared" si="0"/>
        <v>31-Dec-21</v>
      </c>
      <c r="D37" t="s">
        <v>21</v>
      </c>
      <c r="E37" t="s">
        <v>28</v>
      </c>
      <c r="F37" t="str">
        <f>"BYP20B9"</f>
        <v>BYP20B9</v>
      </c>
      <c r="G37" t="s">
        <v>63</v>
      </c>
      <c r="I37" t="s">
        <v>30</v>
      </c>
      <c r="J37">
        <v>0.007636254</v>
      </c>
      <c r="K37">
        <v>600</v>
      </c>
      <c r="L37">
        <v>15611621.4</v>
      </c>
      <c r="M37">
        <v>120422.07</v>
      </c>
      <c r="N37">
        <v>44500</v>
      </c>
      <c r="O37">
        <v>26700000</v>
      </c>
      <c r="P37">
        <v>203887.97</v>
      </c>
      <c r="Q37">
        <v>0</v>
      </c>
      <c r="R37">
        <v>0</v>
      </c>
      <c r="S37">
        <v>0.112</v>
      </c>
      <c r="T37" t="s">
        <v>31</v>
      </c>
    </row>
    <row r="38" spans="1:20" ht="15">
      <c r="A38" t="s">
        <v>19</v>
      </c>
      <c r="B38" t="s">
        <v>20</v>
      </c>
      <c r="C38" t="str">
        <f t="shared" si="0"/>
        <v>31-Dec-21</v>
      </c>
      <c r="D38" t="s">
        <v>21</v>
      </c>
      <c r="E38" t="s">
        <v>28</v>
      </c>
      <c r="F38" t="str">
        <f>"B02JV67"</f>
        <v>B02JV67</v>
      </c>
      <c r="G38" t="s">
        <v>64</v>
      </c>
      <c r="I38" t="s">
        <v>30</v>
      </c>
      <c r="J38">
        <v>0.007636254</v>
      </c>
      <c r="K38">
        <v>2900</v>
      </c>
      <c r="L38">
        <v>4996961</v>
      </c>
      <c r="M38">
        <v>37756.57</v>
      </c>
      <c r="N38">
        <v>4935</v>
      </c>
      <c r="O38">
        <v>14311500</v>
      </c>
      <c r="P38">
        <v>109286.25</v>
      </c>
      <c r="Q38">
        <v>0</v>
      </c>
      <c r="R38">
        <v>0</v>
      </c>
      <c r="S38">
        <v>0.06</v>
      </c>
      <c r="T38" t="s">
        <v>31</v>
      </c>
    </row>
    <row r="39" spans="1:20" ht="15">
      <c r="A39" t="s">
        <v>19</v>
      </c>
      <c r="B39" t="s">
        <v>20</v>
      </c>
      <c r="C39" t="str">
        <f t="shared" si="0"/>
        <v>31-Dec-21</v>
      </c>
      <c r="D39" t="s">
        <v>21</v>
      </c>
      <c r="E39" t="s">
        <v>28</v>
      </c>
      <c r="F39" t="str">
        <f>"6121927"</f>
        <v>6121927</v>
      </c>
      <c r="G39" t="s">
        <v>65</v>
      </c>
      <c r="I39" t="s">
        <v>30</v>
      </c>
      <c r="J39">
        <v>0.007636254</v>
      </c>
      <c r="K39">
        <v>3200</v>
      </c>
      <c r="L39">
        <v>13014832.3</v>
      </c>
      <c r="M39">
        <v>100873.79</v>
      </c>
      <c r="N39">
        <v>2259</v>
      </c>
      <c r="O39">
        <v>7228800</v>
      </c>
      <c r="P39">
        <v>55200.95</v>
      </c>
      <c r="Q39">
        <v>0</v>
      </c>
      <c r="R39">
        <v>0</v>
      </c>
      <c r="S39">
        <v>0.03</v>
      </c>
      <c r="T39" t="s">
        <v>31</v>
      </c>
    </row>
    <row r="40" spans="1:20" ht="15">
      <c r="A40" t="s">
        <v>19</v>
      </c>
      <c r="B40" t="s">
        <v>20</v>
      </c>
      <c r="C40" t="str">
        <f t="shared" si="0"/>
        <v>31-Dec-21</v>
      </c>
      <c r="D40" t="s">
        <v>21</v>
      </c>
      <c r="E40" t="s">
        <v>28</v>
      </c>
      <c r="F40" t="str">
        <f>"B194YN0"</f>
        <v>B194YN0</v>
      </c>
      <c r="G40" t="s">
        <v>66</v>
      </c>
      <c r="I40" t="s">
        <v>30</v>
      </c>
      <c r="J40">
        <v>0.007636254</v>
      </c>
      <c r="K40">
        <v>6100</v>
      </c>
      <c r="L40">
        <v>7143800.85</v>
      </c>
      <c r="M40">
        <v>55513.95</v>
      </c>
      <c r="N40">
        <v>963</v>
      </c>
      <c r="O40">
        <v>5874300</v>
      </c>
      <c r="P40">
        <v>44857.65</v>
      </c>
      <c r="Q40">
        <v>0</v>
      </c>
      <c r="R40">
        <v>0</v>
      </c>
      <c r="S40">
        <v>0.025</v>
      </c>
      <c r="T40" t="s">
        <v>31</v>
      </c>
    </row>
    <row r="41" spans="1:20" ht="15">
      <c r="A41" t="s">
        <v>19</v>
      </c>
      <c r="B41" t="s">
        <v>20</v>
      </c>
      <c r="C41" t="str">
        <f t="shared" si="0"/>
        <v>31-Dec-21</v>
      </c>
      <c r="D41" t="s">
        <v>21</v>
      </c>
      <c r="E41" t="s">
        <v>28</v>
      </c>
      <c r="F41" t="str">
        <f>"6075756"</f>
        <v>6075756</v>
      </c>
      <c r="G41" t="s">
        <v>67</v>
      </c>
      <c r="I41" t="s">
        <v>30</v>
      </c>
      <c r="J41">
        <v>0.007636254</v>
      </c>
      <c r="K41">
        <v>3500</v>
      </c>
      <c r="L41">
        <v>17986888.66</v>
      </c>
      <c r="M41">
        <v>137939.96</v>
      </c>
      <c r="N41">
        <v>5330</v>
      </c>
      <c r="O41">
        <v>18655000</v>
      </c>
      <c r="P41">
        <v>142454.31</v>
      </c>
      <c r="Q41">
        <v>0</v>
      </c>
      <c r="R41">
        <v>0</v>
      </c>
      <c r="S41">
        <v>0.079</v>
      </c>
      <c r="T41" t="s">
        <v>31</v>
      </c>
    </row>
    <row r="42" spans="1:20" ht="15">
      <c r="A42" t="s">
        <v>19</v>
      </c>
      <c r="B42" t="s">
        <v>20</v>
      </c>
      <c r="C42" t="str">
        <f t="shared" si="0"/>
        <v>31-Dec-21</v>
      </c>
      <c r="D42" t="s">
        <v>21</v>
      </c>
      <c r="E42" t="s">
        <v>28</v>
      </c>
      <c r="F42" t="str">
        <f>"6132101"</f>
        <v>6132101</v>
      </c>
      <c r="G42" t="s">
        <v>68</v>
      </c>
      <c r="I42" t="s">
        <v>30</v>
      </c>
      <c r="J42">
        <v>0.007636254</v>
      </c>
      <c r="K42">
        <v>26500</v>
      </c>
      <c r="L42">
        <v>83563039.13</v>
      </c>
      <c r="M42">
        <v>655484.95</v>
      </c>
      <c r="N42">
        <v>4949</v>
      </c>
      <c r="O42">
        <v>131148500</v>
      </c>
      <c r="P42">
        <v>1001483.22</v>
      </c>
      <c r="Q42">
        <v>1914625</v>
      </c>
      <c r="R42">
        <v>14620.56</v>
      </c>
      <c r="S42">
        <v>0.56</v>
      </c>
      <c r="T42" t="s">
        <v>31</v>
      </c>
    </row>
    <row r="43" spans="1:20" ht="15">
      <c r="A43" t="s">
        <v>19</v>
      </c>
      <c r="B43" t="s">
        <v>20</v>
      </c>
      <c r="C43" t="str">
        <f t="shared" si="0"/>
        <v>31-Dec-21</v>
      </c>
      <c r="D43" t="s">
        <v>21</v>
      </c>
      <c r="E43" t="s">
        <v>28</v>
      </c>
      <c r="F43" t="str">
        <f>"6146500"</f>
        <v>6146500</v>
      </c>
      <c r="G43" t="s">
        <v>69</v>
      </c>
      <c r="I43" t="s">
        <v>30</v>
      </c>
      <c r="J43">
        <v>0.007636254</v>
      </c>
      <c r="K43">
        <v>10600</v>
      </c>
      <c r="L43">
        <v>17856963.88</v>
      </c>
      <c r="M43">
        <v>136841.02</v>
      </c>
      <c r="N43">
        <v>2211</v>
      </c>
      <c r="O43">
        <v>23436600</v>
      </c>
      <c r="P43">
        <v>178967.82</v>
      </c>
      <c r="Q43">
        <v>0</v>
      </c>
      <c r="R43">
        <v>0</v>
      </c>
      <c r="S43">
        <v>0.099</v>
      </c>
      <c r="T43" t="s">
        <v>31</v>
      </c>
    </row>
    <row r="44" spans="1:20" ht="15">
      <c r="A44" t="s">
        <v>19</v>
      </c>
      <c r="B44" t="s">
        <v>20</v>
      </c>
      <c r="C44" t="str">
        <f t="shared" si="0"/>
        <v>31-Dec-21</v>
      </c>
      <c r="D44" t="s">
        <v>21</v>
      </c>
      <c r="E44" t="s">
        <v>28</v>
      </c>
      <c r="F44" t="str">
        <f>"6687247"</f>
        <v>6687247</v>
      </c>
      <c r="G44" t="s">
        <v>70</v>
      </c>
      <c r="I44" t="s">
        <v>30</v>
      </c>
      <c r="J44">
        <v>0.007636254</v>
      </c>
      <c r="K44">
        <v>5105</v>
      </c>
      <c r="L44">
        <v>10089389.76</v>
      </c>
      <c r="M44">
        <v>77954.34</v>
      </c>
      <c r="N44">
        <v>2561</v>
      </c>
      <c r="O44">
        <v>13073905</v>
      </c>
      <c r="P44">
        <v>99835.66</v>
      </c>
      <c r="Q44">
        <v>0</v>
      </c>
      <c r="R44">
        <v>0</v>
      </c>
      <c r="S44">
        <v>0.055</v>
      </c>
      <c r="T44" t="s">
        <v>31</v>
      </c>
    </row>
    <row r="45" spans="1:20" ht="15">
      <c r="A45" t="s">
        <v>19</v>
      </c>
      <c r="B45" t="s">
        <v>20</v>
      </c>
      <c r="C45" t="str">
        <f t="shared" si="0"/>
        <v>31-Dec-21</v>
      </c>
      <c r="D45" t="s">
        <v>21</v>
      </c>
      <c r="E45" t="s">
        <v>28</v>
      </c>
      <c r="F45" t="str">
        <f>"B3TBRZ8"</f>
        <v>B3TBRZ8</v>
      </c>
      <c r="G45" t="s">
        <v>71</v>
      </c>
      <c r="I45" t="s">
        <v>30</v>
      </c>
      <c r="J45">
        <v>0.007636254</v>
      </c>
      <c r="K45">
        <v>3100</v>
      </c>
      <c r="L45">
        <v>8573058.14</v>
      </c>
      <c r="M45">
        <v>66942.86</v>
      </c>
      <c r="N45">
        <v>2669</v>
      </c>
      <c r="O45">
        <v>8273900</v>
      </c>
      <c r="P45">
        <v>63181.6</v>
      </c>
      <c r="Q45">
        <v>0</v>
      </c>
      <c r="R45">
        <v>0</v>
      </c>
      <c r="S45">
        <v>0.035</v>
      </c>
      <c r="T45" t="s">
        <v>31</v>
      </c>
    </row>
    <row r="46" spans="1:20" ht="15">
      <c r="A46" t="s">
        <v>19</v>
      </c>
      <c r="B46" t="s">
        <v>20</v>
      </c>
      <c r="C46" t="str">
        <f t="shared" si="0"/>
        <v>31-Dec-21</v>
      </c>
      <c r="D46" t="s">
        <v>21</v>
      </c>
      <c r="E46" t="s">
        <v>28</v>
      </c>
      <c r="F46" t="str">
        <f>"6172323"</f>
        <v>6172323</v>
      </c>
      <c r="G46" t="s">
        <v>72</v>
      </c>
      <c r="I46" t="s">
        <v>30</v>
      </c>
      <c r="J46">
        <v>0.007636254</v>
      </c>
      <c r="K46">
        <v>46800</v>
      </c>
      <c r="L46">
        <v>189247666.51</v>
      </c>
      <c r="M46">
        <v>1463258.2</v>
      </c>
      <c r="N46">
        <v>2801</v>
      </c>
      <c r="O46">
        <v>131086800</v>
      </c>
      <c r="P46">
        <v>1001012.06</v>
      </c>
      <c r="Q46">
        <v>2187900</v>
      </c>
      <c r="R46">
        <v>16707.36</v>
      </c>
      <c r="S46">
        <v>0.561</v>
      </c>
      <c r="T46" t="s">
        <v>31</v>
      </c>
    </row>
    <row r="47" spans="1:20" ht="15">
      <c r="A47" t="s">
        <v>19</v>
      </c>
      <c r="B47" t="s">
        <v>20</v>
      </c>
      <c r="C47" t="str">
        <f t="shared" si="0"/>
        <v>31-Dec-21</v>
      </c>
      <c r="D47" t="s">
        <v>21</v>
      </c>
      <c r="E47" t="s">
        <v>28</v>
      </c>
      <c r="F47" t="str">
        <f>"6172453"</f>
        <v>6172453</v>
      </c>
      <c r="G47" t="s">
        <v>73</v>
      </c>
      <c r="I47" t="s">
        <v>30</v>
      </c>
      <c r="J47">
        <v>0.007636254</v>
      </c>
      <c r="K47">
        <v>1500</v>
      </c>
      <c r="L47">
        <v>2863471.39</v>
      </c>
      <c r="M47">
        <v>22471.87</v>
      </c>
      <c r="N47">
        <v>2291</v>
      </c>
      <c r="O47">
        <v>3436500</v>
      </c>
      <c r="P47">
        <v>26241.99</v>
      </c>
      <c r="Q47">
        <v>38250</v>
      </c>
      <c r="R47">
        <v>292.09</v>
      </c>
      <c r="S47">
        <v>0.015</v>
      </c>
      <c r="T47" t="s">
        <v>31</v>
      </c>
    </row>
    <row r="48" spans="1:20" ht="15">
      <c r="A48" t="s">
        <v>19</v>
      </c>
      <c r="B48" t="s">
        <v>20</v>
      </c>
      <c r="C48" t="str">
        <f t="shared" si="0"/>
        <v>31-Dec-21</v>
      </c>
      <c r="D48" t="s">
        <v>21</v>
      </c>
      <c r="E48" t="s">
        <v>28</v>
      </c>
      <c r="F48" t="str">
        <f>"6173694"</f>
        <v>6173694</v>
      </c>
      <c r="G48" t="s">
        <v>74</v>
      </c>
      <c r="I48" t="s">
        <v>30</v>
      </c>
      <c r="J48">
        <v>0.007636254</v>
      </c>
      <c r="K48">
        <v>8200</v>
      </c>
      <c r="L48">
        <v>6089125.53</v>
      </c>
      <c r="M48">
        <v>46547.72</v>
      </c>
      <c r="N48">
        <v>2708</v>
      </c>
      <c r="O48">
        <v>22205600</v>
      </c>
      <c r="P48">
        <v>169567.6</v>
      </c>
      <c r="Q48">
        <v>0</v>
      </c>
      <c r="R48">
        <v>0</v>
      </c>
      <c r="S48">
        <v>0.093</v>
      </c>
      <c r="T48" t="s">
        <v>31</v>
      </c>
    </row>
    <row r="49" spans="1:20" ht="15">
      <c r="A49" t="s">
        <v>19</v>
      </c>
      <c r="B49" t="s">
        <v>20</v>
      </c>
      <c r="C49" t="str">
        <f t="shared" si="0"/>
        <v>31-Dec-21</v>
      </c>
      <c r="D49" t="s">
        <v>21</v>
      </c>
      <c r="E49" t="s">
        <v>28</v>
      </c>
      <c r="F49" t="str">
        <f>"6178967"</f>
        <v>6178967</v>
      </c>
      <c r="G49" t="s">
        <v>75</v>
      </c>
      <c r="I49" t="s">
        <v>30</v>
      </c>
      <c r="J49">
        <v>0.007636254</v>
      </c>
      <c r="K49">
        <v>9600</v>
      </c>
      <c r="L49">
        <v>11232946.77</v>
      </c>
      <c r="M49">
        <v>85419.82</v>
      </c>
      <c r="N49">
        <v>1479</v>
      </c>
      <c r="O49">
        <v>14198400</v>
      </c>
      <c r="P49">
        <v>108422.58</v>
      </c>
      <c r="Q49">
        <v>0</v>
      </c>
      <c r="R49">
        <v>0</v>
      </c>
      <c r="S49">
        <v>0.06</v>
      </c>
      <c r="T49" t="s">
        <v>31</v>
      </c>
    </row>
    <row r="50" spans="1:20" ht="15">
      <c r="A50" t="s">
        <v>19</v>
      </c>
      <c r="B50" t="s">
        <v>20</v>
      </c>
      <c r="C50" t="str">
        <f t="shared" si="0"/>
        <v>31-Dec-21</v>
      </c>
      <c r="D50" t="s">
        <v>21</v>
      </c>
      <c r="E50" t="s">
        <v>28</v>
      </c>
      <c r="F50" t="str">
        <f>"6183552"</f>
        <v>6183552</v>
      </c>
      <c r="G50" t="s">
        <v>76</v>
      </c>
      <c r="I50" t="s">
        <v>30</v>
      </c>
      <c r="J50">
        <v>0.007636254</v>
      </c>
      <c r="K50">
        <v>8500</v>
      </c>
      <c r="L50">
        <v>113494011.74</v>
      </c>
      <c r="M50">
        <v>876261.55</v>
      </c>
      <c r="N50">
        <v>15345</v>
      </c>
      <c r="O50">
        <v>130432500</v>
      </c>
      <c r="P50">
        <v>996015.66</v>
      </c>
      <c r="Q50">
        <v>0</v>
      </c>
      <c r="R50">
        <v>0</v>
      </c>
      <c r="S50">
        <v>0.549</v>
      </c>
      <c r="T50" t="s">
        <v>31</v>
      </c>
    </row>
    <row r="51" spans="1:20" ht="15">
      <c r="A51" t="s">
        <v>19</v>
      </c>
      <c r="B51" t="s">
        <v>20</v>
      </c>
      <c r="C51" t="str">
        <f t="shared" si="0"/>
        <v>31-Dec-21</v>
      </c>
      <c r="D51" t="s">
        <v>21</v>
      </c>
      <c r="E51" t="s">
        <v>28</v>
      </c>
      <c r="F51" t="str">
        <f>"6190563"</f>
        <v>6190563</v>
      </c>
      <c r="G51" t="s">
        <v>77</v>
      </c>
      <c r="I51" t="s">
        <v>30</v>
      </c>
      <c r="J51">
        <v>0.007636254</v>
      </c>
      <c r="K51">
        <v>30200</v>
      </c>
      <c r="L51">
        <v>21969804.23</v>
      </c>
      <c r="M51">
        <v>169397.43</v>
      </c>
      <c r="N51">
        <v>659</v>
      </c>
      <c r="O51">
        <v>19901800</v>
      </c>
      <c r="P51">
        <v>151975.19</v>
      </c>
      <c r="Q51">
        <v>0</v>
      </c>
      <c r="R51">
        <v>0</v>
      </c>
      <c r="S51">
        <v>0.084</v>
      </c>
      <c r="T51" t="s">
        <v>31</v>
      </c>
    </row>
    <row r="52" spans="1:20" ht="15">
      <c r="A52" t="s">
        <v>19</v>
      </c>
      <c r="B52" t="s">
        <v>20</v>
      </c>
      <c r="C52" t="str">
        <f t="shared" si="0"/>
        <v>31-Dec-21</v>
      </c>
      <c r="D52" t="s">
        <v>21</v>
      </c>
      <c r="E52" t="s">
        <v>28</v>
      </c>
      <c r="F52" t="str">
        <f>"6195609"</f>
        <v>6195609</v>
      </c>
      <c r="G52" t="s">
        <v>78</v>
      </c>
      <c r="I52" t="s">
        <v>30</v>
      </c>
      <c r="J52">
        <v>0.007636254</v>
      </c>
      <c r="K52">
        <v>33000</v>
      </c>
      <c r="L52">
        <v>59945188.31</v>
      </c>
      <c r="M52">
        <v>457664.38</v>
      </c>
      <c r="N52">
        <v>1212</v>
      </c>
      <c r="O52">
        <v>39996000</v>
      </c>
      <c r="P52">
        <v>305419.6</v>
      </c>
      <c r="Q52">
        <v>0</v>
      </c>
      <c r="R52">
        <v>0</v>
      </c>
      <c r="S52">
        <v>0.168</v>
      </c>
      <c r="T52" t="s">
        <v>31</v>
      </c>
    </row>
    <row r="53" spans="1:20" ht="15">
      <c r="A53" t="s">
        <v>19</v>
      </c>
      <c r="B53" t="s">
        <v>20</v>
      </c>
      <c r="C53" t="str">
        <f t="shared" si="0"/>
        <v>31-Dec-21</v>
      </c>
      <c r="D53" t="s">
        <v>21</v>
      </c>
      <c r="E53" t="s">
        <v>28</v>
      </c>
      <c r="F53" t="str">
        <f>"6196408"</f>
        <v>6196408</v>
      </c>
      <c r="G53" t="s">
        <v>79</v>
      </c>
      <c r="I53" t="s">
        <v>30</v>
      </c>
      <c r="J53">
        <v>0.007636254</v>
      </c>
      <c r="K53">
        <v>30600</v>
      </c>
      <c r="L53">
        <v>30061907.41</v>
      </c>
      <c r="M53">
        <v>231869.85</v>
      </c>
      <c r="N53">
        <v>3735</v>
      </c>
      <c r="O53">
        <v>114291000</v>
      </c>
      <c r="P53">
        <v>872755.07</v>
      </c>
      <c r="Q53">
        <v>0</v>
      </c>
      <c r="R53">
        <v>0</v>
      </c>
      <c r="S53">
        <v>0.481</v>
      </c>
      <c r="T53" t="s">
        <v>31</v>
      </c>
    </row>
    <row r="54" spans="1:20" ht="15">
      <c r="A54" t="s">
        <v>19</v>
      </c>
      <c r="B54" t="s">
        <v>20</v>
      </c>
      <c r="C54" t="str">
        <f t="shared" si="0"/>
        <v>31-Dec-21</v>
      </c>
      <c r="D54" t="s">
        <v>21</v>
      </c>
      <c r="E54" t="s">
        <v>28</v>
      </c>
      <c r="F54" t="str">
        <f>"6195803"</f>
        <v>6195803</v>
      </c>
      <c r="G54" t="s">
        <v>80</v>
      </c>
      <c r="I54" t="s">
        <v>30</v>
      </c>
      <c r="J54">
        <v>0.007636254</v>
      </c>
      <c r="K54">
        <v>7400</v>
      </c>
      <c r="L54">
        <v>7899353.68</v>
      </c>
      <c r="M54">
        <v>62903.16</v>
      </c>
      <c r="N54">
        <v>901</v>
      </c>
      <c r="O54">
        <v>6667400</v>
      </c>
      <c r="P54">
        <v>50913.96</v>
      </c>
      <c r="Q54">
        <v>0</v>
      </c>
      <c r="R54">
        <v>0</v>
      </c>
      <c r="S54">
        <v>0.028</v>
      </c>
      <c r="T54" t="s">
        <v>31</v>
      </c>
    </row>
    <row r="55" spans="1:20" ht="15">
      <c r="A55" t="s">
        <v>19</v>
      </c>
      <c r="B55" t="s">
        <v>20</v>
      </c>
      <c r="C55" t="str">
        <f t="shared" si="0"/>
        <v>31-Dec-21</v>
      </c>
      <c r="D55" t="s">
        <v>21</v>
      </c>
      <c r="E55" t="s">
        <v>28</v>
      </c>
      <c r="F55" t="str">
        <f>"6195900"</f>
        <v>6195900</v>
      </c>
      <c r="G55" t="s">
        <v>81</v>
      </c>
      <c r="I55" t="s">
        <v>30</v>
      </c>
      <c r="J55">
        <v>0.007636254</v>
      </c>
      <c r="K55">
        <v>12700</v>
      </c>
      <c r="L55">
        <v>20873932.76</v>
      </c>
      <c r="M55">
        <v>161533.61</v>
      </c>
      <c r="N55">
        <v>931</v>
      </c>
      <c r="O55">
        <v>11823700</v>
      </c>
      <c r="P55">
        <v>90288.77</v>
      </c>
      <c r="Q55">
        <v>0</v>
      </c>
      <c r="R55">
        <v>0</v>
      </c>
      <c r="S55">
        <v>0.05</v>
      </c>
      <c r="T55" t="s">
        <v>31</v>
      </c>
    </row>
    <row r="56" spans="1:20" ht="15">
      <c r="A56" t="s">
        <v>19</v>
      </c>
      <c r="B56" t="s">
        <v>20</v>
      </c>
      <c r="C56" t="str">
        <f t="shared" si="0"/>
        <v>31-Dec-21</v>
      </c>
      <c r="D56" t="s">
        <v>21</v>
      </c>
      <c r="E56" t="s">
        <v>28</v>
      </c>
      <c r="F56" t="str">
        <f>"6163286"</f>
        <v>6163286</v>
      </c>
      <c r="G56" t="s">
        <v>82</v>
      </c>
      <c r="I56" t="s">
        <v>30</v>
      </c>
      <c r="J56">
        <v>0.007636254</v>
      </c>
      <c r="K56">
        <v>7125</v>
      </c>
      <c r="L56">
        <v>22321334.89</v>
      </c>
      <c r="M56">
        <v>170141.25</v>
      </c>
      <c r="N56">
        <v>1320</v>
      </c>
      <c r="O56">
        <v>9405000</v>
      </c>
      <c r="P56">
        <v>71818.97</v>
      </c>
      <c r="Q56">
        <v>151406.25</v>
      </c>
      <c r="R56">
        <v>1156.18</v>
      </c>
      <c r="S56">
        <v>0.04</v>
      </c>
      <c r="T56" t="s">
        <v>31</v>
      </c>
    </row>
    <row r="57" spans="1:20" ht="15">
      <c r="A57" t="s">
        <v>19</v>
      </c>
      <c r="B57" t="s">
        <v>20</v>
      </c>
      <c r="C57" t="str">
        <f t="shared" si="0"/>
        <v>31-Dec-21</v>
      </c>
      <c r="D57" t="s">
        <v>21</v>
      </c>
      <c r="E57" t="s">
        <v>28</v>
      </c>
      <c r="F57" t="str">
        <f>"BD97JW7"</f>
        <v>BD97JW7</v>
      </c>
      <c r="G57" t="s">
        <v>83</v>
      </c>
      <c r="I57" t="s">
        <v>30</v>
      </c>
      <c r="J57">
        <v>0.007636254</v>
      </c>
      <c r="K57">
        <v>54800</v>
      </c>
      <c r="L57">
        <v>31785317.68</v>
      </c>
      <c r="M57">
        <v>239580.12</v>
      </c>
      <c r="N57">
        <v>418</v>
      </c>
      <c r="O57">
        <v>22906400</v>
      </c>
      <c r="P57">
        <v>174919.08</v>
      </c>
      <c r="Q57">
        <v>0</v>
      </c>
      <c r="R57">
        <v>0</v>
      </c>
      <c r="S57">
        <v>0.096</v>
      </c>
      <c r="T57" t="s">
        <v>31</v>
      </c>
    </row>
    <row r="58" spans="1:20" ht="15">
      <c r="A58" t="s">
        <v>19</v>
      </c>
      <c r="B58" t="s">
        <v>20</v>
      </c>
      <c r="C58" t="str">
        <f t="shared" si="0"/>
        <v>31-Dec-21</v>
      </c>
      <c r="D58" t="s">
        <v>21</v>
      </c>
      <c r="E58" t="s">
        <v>28</v>
      </c>
      <c r="F58" t="str">
        <f>"BYSJJ43"</f>
        <v>BYSJJ43</v>
      </c>
      <c r="G58" t="s">
        <v>84</v>
      </c>
      <c r="I58" t="s">
        <v>30</v>
      </c>
      <c r="J58">
        <v>0.007636254</v>
      </c>
      <c r="K58">
        <v>2600</v>
      </c>
      <c r="L58">
        <v>5041044.97</v>
      </c>
      <c r="M58">
        <v>38571.98</v>
      </c>
      <c r="N58">
        <v>2248</v>
      </c>
      <c r="O58">
        <v>5844800</v>
      </c>
      <c r="P58">
        <v>44632.38</v>
      </c>
      <c r="Q58">
        <v>0</v>
      </c>
      <c r="R58">
        <v>0</v>
      </c>
      <c r="S58">
        <v>0.025</v>
      </c>
      <c r="T58" t="s">
        <v>31</v>
      </c>
    </row>
    <row r="59" spans="1:20" ht="15">
      <c r="A59" t="s">
        <v>19</v>
      </c>
      <c r="B59" t="s">
        <v>20</v>
      </c>
      <c r="C59" t="str">
        <f t="shared" si="0"/>
        <v>31-Dec-21</v>
      </c>
      <c r="D59" t="s">
        <v>21</v>
      </c>
      <c r="E59" t="s">
        <v>28</v>
      </c>
      <c r="F59" t="str">
        <f>"B036QP1"</f>
        <v>B036QP1</v>
      </c>
      <c r="G59" t="s">
        <v>85</v>
      </c>
      <c r="I59" t="s">
        <v>30</v>
      </c>
      <c r="J59">
        <v>0.007636254</v>
      </c>
      <c r="K59">
        <v>800</v>
      </c>
      <c r="L59">
        <v>5688086.1</v>
      </c>
      <c r="M59">
        <v>45882.96</v>
      </c>
      <c r="N59">
        <v>16930</v>
      </c>
      <c r="O59">
        <v>13544000</v>
      </c>
      <c r="P59">
        <v>103425.42</v>
      </c>
      <c r="Q59">
        <v>27200</v>
      </c>
      <c r="R59">
        <v>207.71</v>
      </c>
      <c r="S59">
        <v>0.057</v>
      </c>
      <c r="T59" t="s">
        <v>31</v>
      </c>
    </row>
    <row r="60" spans="1:20" ht="15">
      <c r="A60" t="s">
        <v>19</v>
      </c>
      <c r="B60" t="s">
        <v>20</v>
      </c>
      <c r="C60" t="str">
        <f t="shared" si="0"/>
        <v>31-Dec-21</v>
      </c>
      <c r="D60" t="s">
        <v>21</v>
      </c>
      <c r="E60" t="s">
        <v>28</v>
      </c>
      <c r="F60" t="str">
        <f>"6591809"</f>
        <v>6591809</v>
      </c>
      <c r="G60" t="s">
        <v>86</v>
      </c>
      <c r="I60" t="s">
        <v>30</v>
      </c>
      <c r="J60">
        <v>0.007636254</v>
      </c>
      <c r="K60">
        <v>7500</v>
      </c>
      <c r="L60">
        <v>19310336.07</v>
      </c>
      <c r="M60">
        <v>143072.77</v>
      </c>
      <c r="N60">
        <v>1209</v>
      </c>
      <c r="O60">
        <v>9067500</v>
      </c>
      <c r="P60">
        <v>69241.73</v>
      </c>
      <c r="Q60">
        <v>0</v>
      </c>
      <c r="R60">
        <v>0</v>
      </c>
      <c r="S60">
        <v>0.038</v>
      </c>
      <c r="T60" t="s">
        <v>31</v>
      </c>
    </row>
    <row r="61" spans="1:20" ht="15">
      <c r="A61" t="s">
        <v>19</v>
      </c>
      <c r="B61" t="s">
        <v>20</v>
      </c>
      <c r="C61" t="str">
        <f t="shared" si="0"/>
        <v>31-Dec-21</v>
      </c>
      <c r="D61" t="s">
        <v>21</v>
      </c>
      <c r="E61" t="s">
        <v>28</v>
      </c>
      <c r="F61" t="str">
        <f>"6220501"</f>
        <v>6220501</v>
      </c>
      <c r="G61" t="s">
        <v>87</v>
      </c>
      <c r="I61" t="s">
        <v>30</v>
      </c>
      <c r="J61">
        <v>0.007636254</v>
      </c>
      <c r="K61">
        <v>18400</v>
      </c>
      <c r="L61">
        <v>16095486.58</v>
      </c>
      <c r="M61">
        <v>126315.36</v>
      </c>
      <c r="N61">
        <v>1914</v>
      </c>
      <c r="O61">
        <v>35217600</v>
      </c>
      <c r="P61">
        <v>268930.53</v>
      </c>
      <c r="Q61">
        <v>0</v>
      </c>
      <c r="R61">
        <v>0</v>
      </c>
      <c r="S61">
        <v>0.148</v>
      </c>
      <c r="T61" t="s">
        <v>31</v>
      </c>
    </row>
    <row r="62" spans="1:20" ht="15">
      <c r="A62" t="s">
        <v>19</v>
      </c>
      <c r="B62" t="s">
        <v>20</v>
      </c>
      <c r="C62" t="str">
        <f t="shared" si="0"/>
        <v>31-Dec-21</v>
      </c>
      <c r="D62" t="s">
        <v>21</v>
      </c>
      <c r="E62" t="s">
        <v>28</v>
      </c>
      <c r="F62" t="str">
        <f>"6250821"</f>
        <v>6250821</v>
      </c>
      <c r="G62" t="s">
        <v>88</v>
      </c>
      <c r="I62" t="s">
        <v>30</v>
      </c>
      <c r="J62">
        <v>0.007636254</v>
      </c>
      <c r="K62">
        <v>3900</v>
      </c>
      <c r="L62">
        <v>11381760.62</v>
      </c>
      <c r="M62">
        <v>87184.15</v>
      </c>
      <c r="N62">
        <v>2896</v>
      </c>
      <c r="O62">
        <v>11294400</v>
      </c>
      <c r="P62">
        <v>86246.9</v>
      </c>
      <c r="Q62">
        <v>165750</v>
      </c>
      <c r="R62">
        <v>1265.71</v>
      </c>
      <c r="S62">
        <v>0.048</v>
      </c>
      <c r="T62" t="s">
        <v>31</v>
      </c>
    </row>
    <row r="63" spans="1:20" ht="15">
      <c r="A63" t="s">
        <v>19</v>
      </c>
      <c r="B63" t="s">
        <v>20</v>
      </c>
      <c r="C63" t="str">
        <f t="shared" si="0"/>
        <v>31-Dec-21</v>
      </c>
      <c r="D63" t="s">
        <v>21</v>
      </c>
      <c r="E63" t="s">
        <v>28</v>
      </c>
      <c r="F63" t="str">
        <f>"6602563"</f>
        <v>6602563</v>
      </c>
      <c r="G63" t="s">
        <v>89</v>
      </c>
      <c r="I63" t="s">
        <v>30</v>
      </c>
      <c r="J63">
        <v>0.007636254</v>
      </c>
      <c r="K63">
        <v>5000</v>
      </c>
      <c r="L63">
        <v>7958852.55</v>
      </c>
      <c r="M63">
        <v>61844.42</v>
      </c>
      <c r="N63">
        <v>1977</v>
      </c>
      <c r="O63">
        <v>9885000</v>
      </c>
      <c r="P63">
        <v>75484.37</v>
      </c>
      <c r="Q63">
        <v>85000</v>
      </c>
      <c r="R63">
        <v>649.09</v>
      </c>
      <c r="S63">
        <v>0.042</v>
      </c>
      <c r="T63" t="s">
        <v>31</v>
      </c>
    </row>
    <row r="64" spans="1:20" ht="15">
      <c r="A64" t="s">
        <v>19</v>
      </c>
      <c r="B64" t="s">
        <v>20</v>
      </c>
      <c r="C64" t="str">
        <f t="shared" si="0"/>
        <v>31-Dec-21</v>
      </c>
      <c r="D64" t="s">
        <v>21</v>
      </c>
      <c r="E64" t="s">
        <v>28</v>
      </c>
      <c r="F64" t="str">
        <f>"6250906"</f>
        <v>6250906</v>
      </c>
      <c r="G64" t="s">
        <v>90</v>
      </c>
      <c r="I64" t="s">
        <v>30</v>
      </c>
      <c r="J64">
        <v>0.007636254</v>
      </c>
      <c r="K64">
        <v>12200</v>
      </c>
      <c r="L64">
        <v>29460460.17</v>
      </c>
      <c r="M64">
        <v>222619.9</v>
      </c>
      <c r="N64">
        <v>2893</v>
      </c>
      <c r="O64">
        <v>35294600</v>
      </c>
      <c r="P64">
        <v>269518.52</v>
      </c>
      <c r="Q64">
        <v>0</v>
      </c>
      <c r="R64">
        <v>0</v>
      </c>
      <c r="S64">
        <v>0.149</v>
      </c>
      <c r="T64" t="s">
        <v>31</v>
      </c>
    </row>
    <row r="65" spans="1:20" ht="15">
      <c r="A65" t="s">
        <v>19</v>
      </c>
      <c r="B65" t="s">
        <v>20</v>
      </c>
      <c r="C65" t="str">
        <f t="shared" si="0"/>
        <v>31-Dec-21</v>
      </c>
      <c r="D65" t="s">
        <v>21</v>
      </c>
      <c r="E65" t="s">
        <v>28</v>
      </c>
      <c r="F65" t="str">
        <f>"B601QS4"</f>
        <v>B601QS4</v>
      </c>
      <c r="G65" t="s">
        <v>91</v>
      </c>
      <c r="I65" t="s">
        <v>30</v>
      </c>
      <c r="J65">
        <v>0.007636254</v>
      </c>
      <c r="K65">
        <v>48000</v>
      </c>
      <c r="L65">
        <v>73011242.32</v>
      </c>
      <c r="M65">
        <v>585369.9</v>
      </c>
      <c r="N65">
        <v>2325.5</v>
      </c>
      <c r="O65">
        <v>111624000</v>
      </c>
      <c r="P65">
        <v>852389.18</v>
      </c>
      <c r="Q65">
        <v>0</v>
      </c>
      <c r="R65">
        <v>0</v>
      </c>
      <c r="S65">
        <v>0.47</v>
      </c>
      <c r="T65" t="s">
        <v>31</v>
      </c>
    </row>
    <row r="66" spans="1:20" ht="15">
      <c r="A66" t="s">
        <v>19</v>
      </c>
      <c r="B66" t="s">
        <v>20</v>
      </c>
      <c r="C66" t="str">
        <f aca="true" t="shared" si="1" ref="C66:C129">"31-Dec-21"</f>
        <v>31-Dec-21</v>
      </c>
      <c r="D66" t="s">
        <v>21</v>
      </c>
      <c r="E66" t="s">
        <v>28</v>
      </c>
      <c r="F66" t="str">
        <f>"6250542"</f>
        <v>6250542</v>
      </c>
      <c r="G66" t="s">
        <v>92</v>
      </c>
      <c r="I66" t="s">
        <v>30</v>
      </c>
      <c r="J66">
        <v>0.007636254</v>
      </c>
      <c r="K66">
        <v>13600</v>
      </c>
      <c r="L66">
        <v>10636981.33</v>
      </c>
      <c r="M66">
        <v>84943.27</v>
      </c>
      <c r="N66">
        <v>795</v>
      </c>
      <c r="O66">
        <v>10812000</v>
      </c>
      <c r="P66">
        <v>82563.18</v>
      </c>
      <c r="Q66">
        <v>0</v>
      </c>
      <c r="R66">
        <v>0</v>
      </c>
      <c r="S66">
        <v>0.046</v>
      </c>
      <c r="T66" t="s">
        <v>31</v>
      </c>
    </row>
    <row r="67" spans="1:20" ht="15">
      <c r="A67" t="s">
        <v>19</v>
      </c>
      <c r="B67" t="s">
        <v>20</v>
      </c>
      <c r="C67" t="str">
        <f t="shared" si="1"/>
        <v>31-Dec-21</v>
      </c>
      <c r="D67" t="s">
        <v>21</v>
      </c>
      <c r="E67" t="s">
        <v>28</v>
      </c>
      <c r="F67" t="str">
        <f>"6250627"</f>
        <v>6250627</v>
      </c>
      <c r="G67" t="s">
        <v>93</v>
      </c>
      <c r="I67" t="s">
        <v>30</v>
      </c>
      <c r="J67">
        <v>0.007636254</v>
      </c>
      <c r="K67">
        <v>1700</v>
      </c>
      <c r="L67">
        <v>9776141.23</v>
      </c>
      <c r="M67">
        <v>75506.92</v>
      </c>
      <c r="N67">
        <v>4170</v>
      </c>
      <c r="O67">
        <v>7089000</v>
      </c>
      <c r="P67">
        <v>54133.4</v>
      </c>
      <c r="Q67">
        <v>0</v>
      </c>
      <c r="R67">
        <v>0</v>
      </c>
      <c r="S67">
        <v>0.03</v>
      </c>
      <c r="T67" t="s">
        <v>31</v>
      </c>
    </row>
    <row r="68" spans="1:20" ht="15">
      <c r="A68" t="s">
        <v>19</v>
      </c>
      <c r="B68" t="s">
        <v>20</v>
      </c>
      <c r="C68" t="str">
        <f t="shared" si="1"/>
        <v>31-Dec-21</v>
      </c>
      <c r="D68" t="s">
        <v>21</v>
      </c>
      <c r="E68" t="s">
        <v>28</v>
      </c>
      <c r="F68" t="str">
        <f>"6250025"</f>
        <v>6250025</v>
      </c>
      <c r="G68" t="s">
        <v>94</v>
      </c>
      <c r="I68" t="s">
        <v>30</v>
      </c>
      <c r="J68">
        <v>0.007636254</v>
      </c>
      <c r="K68">
        <v>4600</v>
      </c>
      <c r="L68">
        <v>11832107.07</v>
      </c>
      <c r="M68">
        <v>99114.84</v>
      </c>
      <c r="N68">
        <v>9400</v>
      </c>
      <c r="O68">
        <v>43240000</v>
      </c>
      <c r="P68">
        <v>330191.61</v>
      </c>
      <c r="Q68">
        <v>0</v>
      </c>
      <c r="R68">
        <v>0</v>
      </c>
      <c r="S68">
        <v>0.182</v>
      </c>
      <c r="T68" t="s">
        <v>31</v>
      </c>
    </row>
    <row r="69" spans="1:20" ht="15">
      <c r="A69" t="s">
        <v>19</v>
      </c>
      <c r="B69" t="s">
        <v>20</v>
      </c>
      <c r="C69" t="str">
        <f t="shared" si="1"/>
        <v>31-Dec-21</v>
      </c>
      <c r="D69" t="s">
        <v>21</v>
      </c>
      <c r="E69" t="s">
        <v>28</v>
      </c>
      <c r="F69" t="str">
        <f>"B0J7D91"</f>
        <v>B0J7D91</v>
      </c>
      <c r="G69" t="s">
        <v>95</v>
      </c>
      <c r="I69" t="s">
        <v>30</v>
      </c>
      <c r="J69">
        <v>0.007636254</v>
      </c>
      <c r="K69">
        <v>87230</v>
      </c>
      <c r="L69">
        <v>70756739.33</v>
      </c>
      <c r="M69">
        <v>542120.9</v>
      </c>
      <c r="N69">
        <v>2925</v>
      </c>
      <c r="O69">
        <v>255147750</v>
      </c>
      <c r="P69">
        <v>1948372.95</v>
      </c>
      <c r="Q69">
        <v>0</v>
      </c>
      <c r="R69">
        <v>0</v>
      </c>
      <c r="S69">
        <v>1.074</v>
      </c>
      <c r="T69" t="s">
        <v>31</v>
      </c>
    </row>
    <row r="70" spans="1:20" ht="15">
      <c r="A70" t="s">
        <v>19</v>
      </c>
      <c r="B70" t="s">
        <v>20</v>
      </c>
      <c r="C70" t="str">
        <f t="shared" si="1"/>
        <v>31-Dec-21</v>
      </c>
      <c r="D70" t="s">
        <v>21</v>
      </c>
      <c r="E70" t="s">
        <v>28</v>
      </c>
      <c r="F70" t="str">
        <f>"6253132"</f>
        <v>6253132</v>
      </c>
      <c r="G70" t="s">
        <v>96</v>
      </c>
      <c r="I70" t="s">
        <v>30</v>
      </c>
      <c r="J70">
        <v>0.007636254</v>
      </c>
      <c r="K70">
        <v>1600</v>
      </c>
      <c r="L70">
        <v>6737552.9</v>
      </c>
      <c r="M70">
        <v>57989.12</v>
      </c>
      <c r="N70">
        <v>3480</v>
      </c>
      <c r="O70">
        <v>5568000</v>
      </c>
      <c r="P70">
        <v>42518.66</v>
      </c>
      <c r="Q70">
        <v>0</v>
      </c>
      <c r="R70">
        <v>0</v>
      </c>
      <c r="S70">
        <v>0.023</v>
      </c>
      <c r="T70" t="s">
        <v>31</v>
      </c>
    </row>
    <row r="71" spans="1:20" ht="15">
      <c r="A71" t="s">
        <v>19</v>
      </c>
      <c r="B71" t="s">
        <v>20</v>
      </c>
      <c r="C71" t="str">
        <f t="shared" si="1"/>
        <v>31-Dec-21</v>
      </c>
      <c r="D71" t="s">
        <v>21</v>
      </c>
      <c r="E71" t="s">
        <v>28</v>
      </c>
      <c r="F71" t="str">
        <f>"6250724"</f>
        <v>6250724</v>
      </c>
      <c r="G71" t="s">
        <v>97</v>
      </c>
      <c r="I71" t="s">
        <v>30</v>
      </c>
      <c r="J71">
        <v>0.007636254</v>
      </c>
      <c r="K71">
        <v>12300</v>
      </c>
      <c r="L71">
        <v>77241386.56</v>
      </c>
      <c r="M71">
        <v>603866.23</v>
      </c>
      <c r="N71">
        <v>26090</v>
      </c>
      <c r="O71">
        <v>320907000</v>
      </c>
      <c r="P71">
        <v>2450527.27</v>
      </c>
      <c r="Q71">
        <v>0</v>
      </c>
      <c r="R71">
        <v>0</v>
      </c>
      <c r="S71">
        <v>1.351</v>
      </c>
      <c r="T71" t="s">
        <v>31</v>
      </c>
    </row>
    <row r="72" spans="1:20" ht="15">
      <c r="A72" t="s">
        <v>19</v>
      </c>
      <c r="B72" t="s">
        <v>20</v>
      </c>
      <c r="C72" t="str">
        <f t="shared" si="1"/>
        <v>31-Dec-21</v>
      </c>
      <c r="D72" t="s">
        <v>21</v>
      </c>
      <c r="E72" t="s">
        <v>28</v>
      </c>
      <c r="F72" t="str">
        <f>"6870898"</f>
        <v>6870898</v>
      </c>
      <c r="G72" t="s">
        <v>98</v>
      </c>
      <c r="I72" t="s">
        <v>30</v>
      </c>
      <c r="J72">
        <v>0.007636254</v>
      </c>
      <c r="K72">
        <v>3100</v>
      </c>
      <c r="L72">
        <v>5909853.36</v>
      </c>
      <c r="M72">
        <v>45586.35</v>
      </c>
      <c r="N72">
        <v>1910</v>
      </c>
      <c r="O72">
        <v>5921000</v>
      </c>
      <c r="P72">
        <v>45214.26</v>
      </c>
      <c r="Q72">
        <v>0</v>
      </c>
      <c r="R72">
        <v>0</v>
      </c>
      <c r="S72">
        <v>0.025</v>
      </c>
      <c r="T72" t="s">
        <v>31</v>
      </c>
    </row>
    <row r="73" spans="1:20" ht="15">
      <c r="A73" t="s">
        <v>19</v>
      </c>
      <c r="B73" t="s">
        <v>20</v>
      </c>
      <c r="C73" t="str">
        <f t="shared" si="1"/>
        <v>31-Dec-21</v>
      </c>
      <c r="D73" t="s">
        <v>21</v>
      </c>
      <c r="E73" t="s">
        <v>28</v>
      </c>
      <c r="F73" t="str">
        <f>"6250508"</f>
        <v>6250508</v>
      </c>
      <c r="G73" t="s">
        <v>99</v>
      </c>
      <c r="I73" t="s">
        <v>30</v>
      </c>
      <c r="J73">
        <v>0.007636254</v>
      </c>
      <c r="K73">
        <v>2800</v>
      </c>
      <c r="L73">
        <v>29313630.4</v>
      </c>
      <c r="M73">
        <v>234261.71</v>
      </c>
      <c r="N73">
        <v>13170</v>
      </c>
      <c r="O73">
        <v>36876000</v>
      </c>
      <c r="P73">
        <v>281594.49</v>
      </c>
      <c r="Q73">
        <v>0</v>
      </c>
      <c r="R73">
        <v>0</v>
      </c>
      <c r="S73">
        <v>0.155</v>
      </c>
      <c r="T73" t="s">
        <v>31</v>
      </c>
    </row>
    <row r="74" spans="1:20" ht="15">
      <c r="A74" t="s">
        <v>19</v>
      </c>
      <c r="B74" t="s">
        <v>20</v>
      </c>
      <c r="C74" t="str">
        <f t="shared" si="1"/>
        <v>31-Dec-21</v>
      </c>
      <c r="D74" t="s">
        <v>21</v>
      </c>
      <c r="E74" t="s">
        <v>28</v>
      </c>
      <c r="F74" t="str">
        <f>"6251363"</f>
        <v>6251363</v>
      </c>
      <c r="G74" t="s">
        <v>100</v>
      </c>
      <c r="I74" t="s">
        <v>30</v>
      </c>
      <c r="J74">
        <v>0.007636254</v>
      </c>
      <c r="K74">
        <v>30000</v>
      </c>
      <c r="L74">
        <v>68385933.62</v>
      </c>
      <c r="M74">
        <v>538852.97</v>
      </c>
      <c r="N74">
        <v>3308</v>
      </c>
      <c r="O74">
        <v>99240000</v>
      </c>
      <c r="P74">
        <v>757821.82</v>
      </c>
      <c r="Q74">
        <v>0</v>
      </c>
      <c r="R74">
        <v>0</v>
      </c>
      <c r="S74">
        <v>0.418</v>
      </c>
      <c r="T74" t="s">
        <v>31</v>
      </c>
    </row>
    <row r="75" spans="1:20" ht="15">
      <c r="A75" t="s">
        <v>19</v>
      </c>
      <c r="B75" t="s">
        <v>20</v>
      </c>
      <c r="C75" t="str">
        <f t="shared" si="1"/>
        <v>31-Dec-21</v>
      </c>
      <c r="D75" t="s">
        <v>21</v>
      </c>
      <c r="E75" t="s">
        <v>28</v>
      </c>
      <c r="F75" t="str">
        <f>"B0Z6WY0"</f>
        <v>B0Z6WY0</v>
      </c>
      <c r="G75" t="s">
        <v>101</v>
      </c>
      <c r="I75" t="s">
        <v>30</v>
      </c>
      <c r="J75">
        <v>0.007636254</v>
      </c>
      <c r="K75">
        <v>93</v>
      </c>
      <c r="L75">
        <v>26612158.26</v>
      </c>
      <c r="M75">
        <v>207557.29</v>
      </c>
      <c r="N75">
        <v>348500</v>
      </c>
      <c r="O75">
        <v>32410500</v>
      </c>
      <c r="P75">
        <v>247494.8</v>
      </c>
      <c r="Q75">
        <v>0</v>
      </c>
      <c r="R75">
        <v>0</v>
      </c>
      <c r="S75">
        <v>0.136</v>
      </c>
      <c r="T75" t="s">
        <v>31</v>
      </c>
    </row>
    <row r="76" spans="1:20" ht="15">
      <c r="A76" t="s">
        <v>19</v>
      </c>
      <c r="B76" t="s">
        <v>20</v>
      </c>
      <c r="C76" t="str">
        <f t="shared" si="1"/>
        <v>31-Dec-21</v>
      </c>
      <c r="D76" t="s">
        <v>21</v>
      </c>
      <c r="E76" t="s">
        <v>28</v>
      </c>
      <c r="F76" t="str">
        <f>"B0LNTF5"</f>
        <v>B0LNTF5</v>
      </c>
      <c r="G76" t="s">
        <v>102</v>
      </c>
      <c r="I76" t="s">
        <v>30</v>
      </c>
      <c r="J76">
        <v>0.007636254</v>
      </c>
      <c r="K76">
        <v>14</v>
      </c>
      <c r="L76">
        <v>9556394.24</v>
      </c>
      <c r="M76">
        <v>74414.37</v>
      </c>
      <c r="N76">
        <v>700000</v>
      </c>
      <c r="O76">
        <v>9800000</v>
      </c>
      <c r="P76">
        <v>74835.29</v>
      </c>
      <c r="Q76">
        <v>166600</v>
      </c>
      <c r="R76">
        <v>1272.2</v>
      </c>
      <c r="S76">
        <v>0.042</v>
      </c>
      <c r="T76" t="s">
        <v>31</v>
      </c>
    </row>
    <row r="77" spans="1:20" ht="15">
      <c r="A77" t="s">
        <v>19</v>
      </c>
      <c r="B77" t="s">
        <v>20</v>
      </c>
      <c r="C77" t="str">
        <f t="shared" si="1"/>
        <v>31-Dec-21</v>
      </c>
      <c r="D77" t="s">
        <v>21</v>
      </c>
      <c r="E77" t="s">
        <v>28</v>
      </c>
      <c r="F77" t="str">
        <f>"6251448"</f>
        <v>6251448</v>
      </c>
      <c r="G77" t="s">
        <v>103</v>
      </c>
      <c r="I77" t="s">
        <v>30</v>
      </c>
      <c r="J77">
        <v>0.007636254</v>
      </c>
      <c r="K77">
        <v>68800</v>
      </c>
      <c r="L77">
        <v>48081317.48</v>
      </c>
      <c r="M77">
        <v>355742.71</v>
      </c>
      <c r="N77">
        <v>648.7</v>
      </c>
      <c r="O77">
        <v>44630560</v>
      </c>
      <c r="P77">
        <v>340810.28</v>
      </c>
      <c r="Q77">
        <v>0</v>
      </c>
      <c r="R77">
        <v>0</v>
      </c>
      <c r="S77">
        <v>0.188</v>
      </c>
      <c r="T77" t="s">
        <v>31</v>
      </c>
    </row>
    <row r="78" spans="1:20" ht="15">
      <c r="A78" t="s">
        <v>19</v>
      </c>
      <c r="B78" t="s">
        <v>20</v>
      </c>
      <c r="C78" t="str">
        <f t="shared" si="1"/>
        <v>31-Dec-21</v>
      </c>
      <c r="D78" t="s">
        <v>21</v>
      </c>
      <c r="E78" t="s">
        <v>28</v>
      </c>
      <c r="F78" t="str">
        <f>"B05L364"</f>
        <v>B05L364</v>
      </c>
      <c r="G78" t="s">
        <v>104</v>
      </c>
      <c r="I78" t="s">
        <v>30</v>
      </c>
      <c r="J78">
        <v>0.007636254</v>
      </c>
      <c r="K78">
        <v>4500</v>
      </c>
      <c r="L78">
        <v>10202751.08</v>
      </c>
      <c r="M78">
        <v>81300.73</v>
      </c>
      <c r="N78">
        <v>1771</v>
      </c>
      <c r="O78">
        <v>7969500</v>
      </c>
      <c r="P78">
        <v>60857.12</v>
      </c>
      <c r="Q78">
        <v>0</v>
      </c>
      <c r="R78">
        <v>0</v>
      </c>
      <c r="S78">
        <v>0.034</v>
      </c>
      <c r="T78" t="s">
        <v>31</v>
      </c>
    </row>
    <row r="79" spans="1:20" ht="15">
      <c r="A79" t="s">
        <v>19</v>
      </c>
      <c r="B79" t="s">
        <v>20</v>
      </c>
      <c r="C79" t="str">
        <f t="shared" si="1"/>
        <v>31-Dec-21</v>
      </c>
      <c r="D79" t="s">
        <v>21</v>
      </c>
      <c r="E79" t="s">
        <v>28</v>
      </c>
      <c r="F79" t="str">
        <f>"6309820"</f>
        <v>6309820</v>
      </c>
      <c r="G79" t="s">
        <v>105</v>
      </c>
      <c r="I79" t="s">
        <v>30</v>
      </c>
      <c r="J79">
        <v>0.007636254</v>
      </c>
      <c r="K79">
        <v>3900</v>
      </c>
      <c r="L79">
        <v>8134524.15</v>
      </c>
      <c r="M79">
        <v>61590.77</v>
      </c>
      <c r="N79">
        <v>3760</v>
      </c>
      <c r="O79">
        <v>14664000</v>
      </c>
      <c r="P79">
        <v>111978.02</v>
      </c>
      <c r="Q79">
        <v>0</v>
      </c>
      <c r="R79">
        <v>0</v>
      </c>
      <c r="S79">
        <v>0.062</v>
      </c>
      <c r="T79" t="s">
        <v>31</v>
      </c>
    </row>
    <row r="80" spans="1:20" ht="15">
      <c r="A80" t="s">
        <v>19</v>
      </c>
      <c r="B80" t="s">
        <v>20</v>
      </c>
      <c r="C80" t="str">
        <f t="shared" si="1"/>
        <v>31-Dec-21</v>
      </c>
      <c r="D80" t="s">
        <v>21</v>
      </c>
      <c r="E80" t="s">
        <v>28</v>
      </c>
      <c r="F80" t="str">
        <f>"6640381"</f>
        <v>6640381</v>
      </c>
      <c r="G80" t="s">
        <v>106</v>
      </c>
      <c r="I80" t="s">
        <v>30</v>
      </c>
      <c r="J80">
        <v>0.007636254</v>
      </c>
      <c r="K80">
        <v>21300</v>
      </c>
      <c r="L80">
        <v>86915749.28</v>
      </c>
      <c r="M80">
        <v>672951.14</v>
      </c>
      <c r="N80">
        <v>9529</v>
      </c>
      <c r="O80">
        <v>202967700</v>
      </c>
      <c r="P80">
        <v>1549912.85</v>
      </c>
      <c r="Q80">
        <v>0</v>
      </c>
      <c r="R80">
        <v>0</v>
      </c>
      <c r="S80">
        <v>0.854</v>
      </c>
      <c r="T80" t="s">
        <v>31</v>
      </c>
    </row>
    <row r="81" spans="1:20" ht="15">
      <c r="A81" t="s">
        <v>19</v>
      </c>
      <c r="B81" t="s">
        <v>20</v>
      </c>
      <c r="C81" t="str">
        <f t="shared" si="1"/>
        <v>31-Dec-21</v>
      </c>
      <c r="D81" t="s">
        <v>21</v>
      </c>
      <c r="E81" t="s">
        <v>28</v>
      </c>
      <c r="F81" t="str">
        <f>"6416281"</f>
        <v>6416281</v>
      </c>
      <c r="G81" t="s">
        <v>107</v>
      </c>
      <c r="I81" t="s">
        <v>30</v>
      </c>
      <c r="J81">
        <v>0.007636254</v>
      </c>
      <c r="K81">
        <v>9900</v>
      </c>
      <c r="L81">
        <v>34199970.87</v>
      </c>
      <c r="M81">
        <v>269824.85</v>
      </c>
      <c r="N81">
        <v>4100</v>
      </c>
      <c r="O81">
        <v>40590000</v>
      </c>
      <c r="P81">
        <v>309955.54</v>
      </c>
      <c r="Q81">
        <v>530145</v>
      </c>
      <c r="R81">
        <v>4048.32</v>
      </c>
      <c r="S81">
        <v>0.173</v>
      </c>
      <c r="T81" t="s">
        <v>31</v>
      </c>
    </row>
    <row r="82" spans="1:20" ht="15">
      <c r="A82" t="s">
        <v>19</v>
      </c>
      <c r="B82" t="s">
        <v>20</v>
      </c>
      <c r="C82" t="str">
        <f t="shared" si="1"/>
        <v>31-Dec-21</v>
      </c>
      <c r="D82" t="s">
        <v>21</v>
      </c>
      <c r="E82" t="s">
        <v>28</v>
      </c>
      <c r="F82" t="str">
        <f>"6270948"</f>
        <v>6270948</v>
      </c>
      <c r="G82" t="s">
        <v>108</v>
      </c>
      <c r="I82" t="s">
        <v>30</v>
      </c>
      <c r="J82">
        <v>0.007636254</v>
      </c>
      <c r="K82">
        <v>1300</v>
      </c>
      <c r="L82">
        <v>12434084.53</v>
      </c>
      <c r="M82">
        <v>99107.01</v>
      </c>
      <c r="N82">
        <v>35150</v>
      </c>
      <c r="O82">
        <v>45695000</v>
      </c>
      <c r="P82">
        <v>348938.61</v>
      </c>
      <c r="Q82">
        <v>0</v>
      </c>
      <c r="R82">
        <v>0</v>
      </c>
      <c r="S82">
        <v>0.192</v>
      </c>
      <c r="T82" t="s">
        <v>31</v>
      </c>
    </row>
    <row r="83" spans="1:20" ht="15">
      <c r="A83" t="s">
        <v>19</v>
      </c>
      <c r="B83" t="s">
        <v>20</v>
      </c>
      <c r="C83" t="str">
        <f t="shared" si="1"/>
        <v>31-Dec-21</v>
      </c>
      <c r="D83" t="s">
        <v>21</v>
      </c>
      <c r="E83" t="s">
        <v>28</v>
      </c>
      <c r="F83" t="str">
        <f>"6278306"</f>
        <v>6278306</v>
      </c>
      <c r="G83" t="s">
        <v>109</v>
      </c>
      <c r="I83" t="s">
        <v>30</v>
      </c>
      <c r="J83">
        <v>0.007636254</v>
      </c>
      <c r="K83">
        <v>1610</v>
      </c>
      <c r="L83">
        <v>6219140.2</v>
      </c>
      <c r="M83">
        <v>47468.32</v>
      </c>
      <c r="N83">
        <v>4835</v>
      </c>
      <c r="O83">
        <v>7784350</v>
      </c>
      <c r="P83">
        <v>59443.27</v>
      </c>
      <c r="Q83">
        <v>0</v>
      </c>
      <c r="R83">
        <v>0</v>
      </c>
      <c r="S83">
        <v>0.033</v>
      </c>
      <c r="T83" t="s">
        <v>31</v>
      </c>
    </row>
    <row r="84" spans="1:20" ht="15">
      <c r="A84" t="s">
        <v>19</v>
      </c>
      <c r="B84" t="s">
        <v>20</v>
      </c>
      <c r="C84" t="str">
        <f t="shared" si="1"/>
        <v>31-Dec-21</v>
      </c>
      <c r="D84" t="s">
        <v>21</v>
      </c>
      <c r="E84" t="s">
        <v>28</v>
      </c>
      <c r="F84" t="str">
        <f>"B627LW9"</f>
        <v>B627LW9</v>
      </c>
      <c r="G84" t="s">
        <v>110</v>
      </c>
      <c r="I84" t="s">
        <v>30</v>
      </c>
      <c r="J84">
        <v>0.007636254</v>
      </c>
      <c r="K84">
        <v>136871</v>
      </c>
      <c r="L84">
        <v>72202517.71</v>
      </c>
      <c r="M84">
        <v>558971.31</v>
      </c>
      <c r="N84">
        <v>430.3</v>
      </c>
      <c r="O84">
        <v>58895591.3</v>
      </c>
      <c r="P84">
        <v>449741.68</v>
      </c>
      <c r="Q84">
        <v>0</v>
      </c>
      <c r="R84">
        <v>0</v>
      </c>
      <c r="S84">
        <v>0.248</v>
      </c>
      <c r="T84" t="s">
        <v>31</v>
      </c>
    </row>
    <row r="85" spans="1:20" ht="15">
      <c r="A85" t="s">
        <v>19</v>
      </c>
      <c r="B85" t="s">
        <v>20</v>
      </c>
      <c r="C85" t="str">
        <f t="shared" si="1"/>
        <v>31-Dec-21</v>
      </c>
      <c r="D85" t="s">
        <v>21</v>
      </c>
      <c r="E85" t="s">
        <v>28</v>
      </c>
      <c r="F85" t="str">
        <f>"6499420"</f>
        <v>6499420</v>
      </c>
      <c r="G85" t="s">
        <v>111</v>
      </c>
      <c r="I85" t="s">
        <v>30</v>
      </c>
      <c r="J85">
        <v>0.007636254</v>
      </c>
      <c r="K85">
        <v>5200</v>
      </c>
      <c r="L85">
        <v>13920407.22</v>
      </c>
      <c r="M85">
        <v>106841.06</v>
      </c>
      <c r="N85">
        <v>2424</v>
      </c>
      <c r="O85">
        <v>12604800</v>
      </c>
      <c r="P85">
        <v>96253.45</v>
      </c>
      <c r="Q85">
        <v>0</v>
      </c>
      <c r="R85">
        <v>0</v>
      </c>
      <c r="S85">
        <v>0.053</v>
      </c>
      <c r="T85" t="s">
        <v>31</v>
      </c>
    </row>
    <row r="86" spans="1:20" ht="15">
      <c r="A86" t="s">
        <v>19</v>
      </c>
      <c r="B86" t="s">
        <v>20</v>
      </c>
      <c r="C86" t="str">
        <f t="shared" si="1"/>
        <v>31-Dec-21</v>
      </c>
      <c r="D86" t="s">
        <v>21</v>
      </c>
      <c r="E86" t="s">
        <v>28</v>
      </c>
      <c r="F86" t="str">
        <f>"6298542"</f>
        <v>6298542</v>
      </c>
      <c r="G86" t="s">
        <v>112</v>
      </c>
      <c r="I86" t="s">
        <v>30</v>
      </c>
      <c r="J86">
        <v>0.007636254</v>
      </c>
      <c r="K86">
        <v>16700</v>
      </c>
      <c r="L86">
        <v>139075115.12</v>
      </c>
      <c r="M86">
        <v>1085841.31</v>
      </c>
      <c r="N86">
        <v>7073</v>
      </c>
      <c r="O86">
        <v>118119100</v>
      </c>
      <c r="P86">
        <v>901987.42</v>
      </c>
      <c r="Q86">
        <v>0</v>
      </c>
      <c r="R86">
        <v>0</v>
      </c>
      <c r="S86">
        <v>0.497</v>
      </c>
      <c r="T86" t="s">
        <v>31</v>
      </c>
    </row>
    <row r="87" spans="1:20" ht="15">
      <c r="A87" t="s">
        <v>19</v>
      </c>
      <c r="B87" t="s">
        <v>20</v>
      </c>
      <c r="C87" t="str">
        <f t="shared" si="1"/>
        <v>31-Dec-21</v>
      </c>
      <c r="D87" t="s">
        <v>21</v>
      </c>
      <c r="E87" t="s">
        <v>28</v>
      </c>
      <c r="F87" t="str">
        <f>"6302700"</f>
        <v>6302700</v>
      </c>
      <c r="G87" t="s">
        <v>113</v>
      </c>
      <c r="I87" t="s">
        <v>30</v>
      </c>
      <c r="J87">
        <v>0.007636254</v>
      </c>
      <c r="K87">
        <v>4300</v>
      </c>
      <c r="L87">
        <v>10342333.33</v>
      </c>
      <c r="M87">
        <v>79538.55</v>
      </c>
      <c r="N87">
        <v>6390</v>
      </c>
      <c r="O87">
        <v>27477000</v>
      </c>
      <c r="P87">
        <v>209821.34</v>
      </c>
      <c r="Q87">
        <v>292400</v>
      </c>
      <c r="R87">
        <v>2232.84</v>
      </c>
      <c r="S87">
        <v>0.117</v>
      </c>
      <c r="T87" t="s">
        <v>31</v>
      </c>
    </row>
    <row r="88" spans="1:20" ht="15">
      <c r="A88" t="s">
        <v>19</v>
      </c>
      <c r="B88" t="s">
        <v>20</v>
      </c>
      <c r="C88" t="str">
        <f t="shared" si="1"/>
        <v>31-Dec-21</v>
      </c>
      <c r="D88" t="s">
        <v>21</v>
      </c>
      <c r="E88" t="s">
        <v>28</v>
      </c>
      <c r="F88" t="str">
        <f>"6307200"</f>
        <v>6307200</v>
      </c>
      <c r="G88" t="s">
        <v>114</v>
      </c>
      <c r="I88" t="s">
        <v>30</v>
      </c>
      <c r="J88">
        <v>0.007636254</v>
      </c>
      <c r="K88">
        <v>12400</v>
      </c>
      <c r="L88">
        <v>63854636.09</v>
      </c>
      <c r="M88">
        <v>493102.4</v>
      </c>
      <c r="N88">
        <v>6531</v>
      </c>
      <c r="O88">
        <v>80984400</v>
      </c>
      <c r="P88">
        <v>618417.43</v>
      </c>
      <c r="Q88">
        <v>0</v>
      </c>
      <c r="R88">
        <v>0</v>
      </c>
      <c r="S88">
        <v>0.341</v>
      </c>
      <c r="T88" t="s">
        <v>31</v>
      </c>
    </row>
    <row r="89" spans="1:20" ht="15">
      <c r="A89" t="s">
        <v>19</v>
      </c>
      <c r="B89" t="s">
        <v>20</v>
      </c>
      <c r="C89" t="str">
        <f t="shared" si="1"/>
        <v>31-Dec-21</v>
      </c>
      <c r="D89" t="s">
        <v>21</v>
      </c>
      <c r="E89" t="s">
        <v>28</v>
      </c>
      <c r="F89" t="str">
        <f>"6388528"</f>
        <v>6388528</v>
      </c>
      <c r="G89" t="s">
        <v>115</v>
      </c>
      <c r="I89" t="s">
        <v>30</v>
      </c>
      <c r="J89">
        <v>0.007636254</v>
      </c>
      <c r="K89">
        <v>2800</v>
      </c>
      <c r="L89">
        <v>6992338.71</v>
      </c>
      <c r="M89">
        <v>56275.07</v>
      </c>
      <c r="N89">
        <v>1513</v>
      </c>
      <c r="O89">
        <v>4236400</v>
      </c>
      <c r="P89">
        <v>32350.23</v>
      </c>
      <c r="Q89">
        <v>0</v>
      </c>
      <c r="R89">
        <v>0</v>
      </c>
      <c r="S89">
        <v>0.018</v>
      </c>
      <c r="T89" t="s">
        <v>31</v>
      </c>
    </row>
    <row r="90" spans="1:20" ht="15">
      <c r="A90" t="s">
        <v>19</v>
      </c>
      <c r="B90" t="s">
        <v>20</v>
      </c>
      <c r="C90" t="str">
        <f t="shared" si="1"/>
        <v>31-Dec-21</v>
      </c>
      <c r="D90" t="s">
        <v>21</v>
      </c>
      <c r="E90" t="s">
        <v>28</v>
      </c>
      <c r="F90" t="str">
        <f>"B02Q328"</f>
        <v>B02Q328</v>
      </c>
      <c r="G90" t="s">
        <v>116</v>
      </c>
      <c r="I90" t="s">
        <v>30</v>
      </c>
      <c r="J90">
        <v>0.007636254</v>
      </c>
      <c r="K90">
        <v>7980</v>
      </c>
      <c r="L90">
        <v>25971829.97</v>
      </c>
      <c r="M90">
        <v>193897.82</v>
      </c>
      <c r="N90">
        <v>1527</v>
      </c>
      <c r="O90">
        <v>12185460</v>
      </c>
      <c r="P90">
        <v>93051.26</v>
      </c>
      <c r="Q90">
        <v>0</v>
      </c>
      <c r="R90">
        <v>0</v>
      </c>
      <c r="S90">
        <v>0.051</v>
      </c>
      <c r="T90" t="s">
        <v>31</v>
      </c>
    </row>
    <row r="91" spans="1:20" ht="15">
      <c r="A91" t="s">
        <v>19</v>
      </c>
      <c r="B91" t="s">
        <v>20</v>
      </c>
      <c r="C91" t="str">
        <f t="shared" si="1"/>
        <v>31-Dec-21</v>
      </c>
      <c r="D91" t="s">
        <v>21</v>
      </c>
      <c r="E91" t="s">
        <v>28</v>
      </c>
      <c r="F91" t="str">
        <f>"6327703"</f>
        <v>6327703</v>
      </c>
      <c r="G91" t="s">
        <v>117</v>
      </c>
      <c r="I91" t="s">
        <v>30</v>
      </c>
      <c r="J91">
        <v>0.007636254</v>
      </c>
      <c r="K91">
        <v>2500</v>
      </c>
      <c r="L91">
        <v>8359843.23</v>
      </c>
      <c r="M91">
        <v>65686.86</v>
      </c>
      <c r="N91">
        <v>3660</v>
      </c>
      <c r="O91">
        <v>9150000</v>
      </c>
      <c r="P91">
        <v>69871.72</v>
      </c>
      <c r="Q91">
        <v>74375</v>
      </c>
      <c r="R91">
        <v>567.94</v>
      </c>
      <c r="S91">
        <v>0.039</v>
      </c>
      <c r="T91" t="s">
        <v>31</v>
      </c>
    </row>
    <row r="92" spans="1:20" ht="15">
      <c r="A92" t="s">
        <v>19</v>
      </c>
      <c r="B92" t="s">
        <v>20</v>
      </c>
      <c r="C92" t="str">
        <f t="shared" si="1"/>
        <v>31-Dec-21</v>
      </c>
      <c r="D92" t="s">
        <v>21</v>
      </c>
      <c r="E92" t="s">
        <v>28</v>
      </c>
      <c r="F92" t="str">
        <f>"6356934"</f>
        <v>6356934</v>
      </c>
      <c r="G92" t="s">
        <v>118</v>
      </c>
      <c r="I92" t="s">
        <v>30</v>
      </c>
      <c r="J92">
        <v>0.007636254</v>
      </c>
      <c r="K92">
        <v>9000</v>
      </c>
      <c r="L92">
        <v>144347237.82</v>
      </c>
      <c r="M92">
        <v>1154730.89</v>
      </c>
      <c r="N92">
        <v>24380</v>
      </c>
      <c r="O92">
        <v>219420000</v>
      </c>
      <c r="P92">
        <v>1675546.79</v>
      </c>
      <c r="Q92">
        <v>0</v>
      </c>
      <c r="R92">
        <v>0</v>
      </c>
      <c r="S92">
        <v>0.924</v>
      </c>
      <c r="T92" t="s">
        <v>31</v>
      </c>
    </row>
    <row r="93" spans="1:20" ht="15">
      <c r="A93" t="s">
        <v>19</v>
      </c>
      <c r="B93" t="s">
        <v>20</v>
      </c>
      <c r="C93" t="str">
        <f t="shared" si="1"/>
        <v>31-Dec-21</v>
      </c>
      <c r="D93" t="s">
        <v>21</v>
      </c>
      <c r="E93" t="s">
        <v>28</v>
      </c>
      <c r="F93" t="str">
        <f>"6329947"</f>
        <v>6329947</v>
      </c>
      <c r="G93" t="s">
        <v>119</v>
      </c>
      <c r="I93" t="s">
        <v>30</v>
      </c>
      <c r="J93">
        <v>0.007636254</v>
      </c>
      <c r="K93">
        <v>2300</v>
      </c>
      <c r="L93">
        <v>4615181.44</v>
      </c>
      <c r="M93">
        <v>35714.34</v>
      </c>
      <c r="N93">
        <v>3920</v>
      </c>
      <c r="O93">
        <v>9016000</v>
      </c>
      <c r="P93">
        <v>68848.46</v>
      </c>
      <c r="Q93">
        <v>0</v>
      </c>
      <c r="R93">
        <v>0</v>
      </c>
      <c r="S93">
        <v>0.038</v>
      </c>
      <c r="T93" t="s">
        <v>31</v>
      </c>
    </row>
    <row r="94" spans="1:20" ht="15">
      <c r="A94" t="s">
        <v>19</v>
      </c>
      <c r="B94" t="s">
        <v>20</v>
      </c>
      <c r="C94" t="str">
        <f t="shared" si="1"/>
        <v>31-Dec-21</v>
      </c>
      <c r="D94" t="s">
        <v>21</v>
      </c>
      <c r="E94" t="s">
        <v>28</v>
      </c>
      <c r="F94" t="str">
        <f>"6356525"</f>
        <v>6356525</v>
      </c>
      <c r="G94" t="s">
        <v>120</v>
      </c>
      <c r="I94" t="s">
        <v>30</v>
      </c>
      <c r="J94">
        <v>0.007636254</v>
      </c>
      <c r="K94">
        <v>16600</v>
      </c>
      <c r="L94">
        <v>54624865.99</v>
      </c>
      <c r="M94">
        <v>417486.54</v>
      </c>
      <c r="N94">
        <v>8526</v>
      </c>
      <c r="O94">
        <v>141531600</v>
      </c>
      <c r="P94">
        <v>1080771.21</v>
      </c>
      <c r="Q94">
        <v>0</v>
      </c>
      <c r="R94">
        <v>0</v>
      </c>
      <c r="S94">
        <v>0.596</v>
      </c>
      <c r="T94" t="s">
        <v>31</v>
      </c>
    </row>
    <row r="95" spans="1:20" ht="15">
      <c r="A95" t="s">
        <v>19</v>
      </c>
      <c r="B95" t="s">
        <v>20</v>
      </c>
      <c r="C95" t="str">
        <f t="shared" si="1"/>
        <v>31-Dec-21</v>
      </c>
      <c r="D95" t="s">
        <v>21</v>
      </c>
      <c r="E95" t="s">
        <v>28</v>
      </c>
      <c r="F95" t="str">
        <f>"6131261"</f>
        <v>6131261</v>
      </c>
      <c r="G95" t="s">
        <v>121</v>
      </c>
      <c r="I95" t="s">
        <v>30</v>
      </c>
      <c r="J95">
        <v>0.007636254</v>
      </c>
      <c r="K95">
        <v>3200</v>
      </c>
      <c r="L95">
        <v>8509723.27</v>
      </c>
      <c r="M95">
        <v>64298.68</v>
      </c>
      <c r="N95">
        <v>3430</v>
      </c>
      <c r="O95">
        <v>10976000</v>
      </c>
      <c r="P95">
        <v>83815.52</v>
      </c>
      <c r="Q95">
        <v>0</v>
      </c>
      <c r="R95">
        <v>0</v>
      </c>
      <c r="S95">
        <v>0.046</v>
      </c>
      <c r="T95" t="s">
        <v>31</v>
      </c>
    </row>
    <row r="96" spans="1:20" ht="15">
      <c r="A96" t="s">
        <v>19</v>
      </c>
      <c r="B96" t="s">
        <v>20</v>
      </c>
      <c r="C96" t="str">
        <f t="shared" si="1"/>
        <v>31-Dec-21</v>
      </c>
      <c r="D96" t="s">
        <v>21</v>
      </c>
      <c r="E96" t="s">
        <v>28</v>
      </c>
      <c r="F96" t="str">
        <f>"6332439"</f>
        <v>6332439</v>
      </c>
      <c r="G96" t="s">
        <v>122</v>
      </c>
      <c r="I96" t="s">
        <v>30</v>
      </c>
      <c r="J96">
        <v>0.007636254</v>
      </c>
      <c r="K96">
        <v>2400</v>
      </c>
      <c r="L96">
        <v>58030488.54</v>
      </c>
      <c r="M96">
        <v>456542.99</v>
      </c>
      <c r="N96">
        <v>65310</v>
      </c>
      <c r="O96">
        <v>156744000</v>
      </c>
      <c r="P96">
        <v>1196936.95</v>
      </c>
      <c r="Q96">
        <v>0</v>
      </c>
      <c r="R96">
        <v>0</v>
      </c>
      <c r="S96">
        <v>0.66</v>
      </c>
      <c r="T96" t="s">
        <v>31</v>
      </c>
    </row>
    <row r="97" spans="1:20" ht="15">
      <c r="A97" t="s">
        <v>19</v>
      </c>
      <c r="B97" t="s">
        <v>20</v>
      </c>
      <c r="C97" t="str">
        <f t="shared" si="1"/>
        <v>31-Dec-21</v>
      </c>
      <c r="D97" t="s">
        <v>21</v>
      </c>
      <c r="E97" t="s">
        <v>28</v>
      </c>
      <c r="F97" t="str">
        <f>"BF1HPT8"</f>
        <v>BF1HPT8</v>
      </c>
      <c r="G97" t="s">
        <v>123</v>
      </c>
      <c r="I97" t="s">
        <v>30</v>
      </c>
      <c r="J97">
        <v>0.007636254</v>
      </c>
      <c r="K97">
        <v>4700</v>
      </c>
      <c r="L97">
        <v>9377737.27</v>
      </c>
      <c r="M97">
        <v>78679.46</v>
      </c>
      <c r="N97">
        <v>4350</v>
      </c>
      <c r="O97">
        <v>20445000</v>
      </c>
      <c r="P97">
        <v>156123.21</v>
      </c>
      <c r="Q97">
        <v>0</v>
      </c>
      <c r="R97">
        <v>0</v>
      </c>
      <c r="S97">
        <v>0.086</v>
      </c>
      <c r="T97" t="s">
        <v>31</v>
      </c>
    </row>
    <row r="98" spans="1:20" ht="15">
      <c r="A98" t="s">
        <v>19</v>
      </c>
      <c r="B98" t="s">
        <v>20</v>
      </c>
      <c r="C98" t="str">
        <f t="shared" si="1"/>
        <v>31-Dec-21</v>
      </c>
      <c r="D98" t="s">
        <v>21</v>
      </c>
      <c r="E98" t="s">
        <v>28</v>
      </c>
      <c r="F98" t="str">
        <f>"6356365"</f>
        <v>6356365</v>
      </c>
      <c r="G98" t="s">
        <v>124</v>
      </c>
      <c r="I98" t="s">
        <v>30</v>
      </c>
      <c r="J98">
        <v>0.007636254</v>
      </c>
      <c r="K98">
        <v>5900</v>
      </c>
      <c r="L98">
        <v>13582016.44</v>
      </c>
      <c r="M98">
        <v>103501.66</v>
      </c>
      <c r="N98">
        <v>6280</v>
      </c>
      <c r="O98">
        <v>37052000</v>
      </c>
      <c r="P98">
        <v>282938.47</v>
      </c>
      <c r="Q98">
        <v>0</v>
      </c>
      <c r="R98">
        <v>0</v>
      </c>
      <c r="S98">
        <v>0.156</v>
      </c>
      <c r="T98" t="s">
        <v>31</v>
      </c>
    </row>
    <row r="99" spans="1:20" ht="15">
      <c r="A99" t="s">
        <v>19</v>
      </c>
      <c r="B99" t="s">
        <v>20</v>
      </c>
      <c r="C99" t="str">
        <f t="shared" si="1"/>
        <v>31-Dec-21</v>
      </c>
      <c r="D99" t="s">
        <v>21</v>
      </c>
      <c r="E99" t="s">
        <v>28</v>
      </c>
      <c r="F99" t="str">
        <f>"6356495"</f>
        <v>6356495</v>
      </c>
      <c r="G99" t="s">
        <v>125</v>
      </c>
      <c r="I99" t="s">
        <v>30</v>
      </c>
      <c r="J99">
        <v>0.007636254</v>
      </c>
      <c r="K99">
        <v>1300</v>
      </c>
      <c r="L99">
        <v>8034202.31</v>
      </c>
      <c r="M99">
        <v>61972.76</v>
      </c>
      <c r="N99">
        <v>4080</v>
      </c>
      <c r="O99">
        <v>5304000</v>
      </c>
      <c r="P99">
        <v>40502.69</v>
      </c>
      <c r="Q99">
        <v>0</v>
      </c>
      <c r="R99">
        <v>0</v>
      </c>
      <c r="S99">
        <v>0.022</v>
      </c>
      <c r="T99" t="s">
        <v>31</v>
      </c>
    </row>
    <row r="100" spans="1:20" ht="15">
      <c r="A100" t="s">
        <v>19</v>
      </c>
      <c r="B100" t="s">
        <v>20</v>
      </c>
      <c r="C100" t="str">
        <f t="shared" si="1"/>
        <v>31-Dec-21</v>
      </c>
      <c r="D100" t="s">
        <v>21</v>
      </c>
      <c r="E100" t="s">
        <v>28</v>
      </c>
      <c r="F100" t="str">
        <f>"6036582"</f>
        <v>6036582</v>
      </c>
      <c r="G100" t="s">
        <v>126</v>
      </c>
      <c r="I100" t="s">
        <v>30</v>
      </c>
      <c r="J100">
        <v>0.007636254</v>
      </c>
      <c r="K100">
        <v>2900</v>
      </c>
      <c r="L100">
        <v>4513302.38</v>
      </c>
      <c r="M100">
        <v>33973.26</v>
      </c>
      <c r="N100">
        <v>1108</v>
      </c>
      <c r="O100">
        <v>3213200</v>
      </c>
      <c r="P100">
        <v>24536.81</v>
      </c>
      <c r="Q100">
        <v>0</v>
      </c>
      <c r="R100">
        <v>0</v>
      </c>
      <c r="S100">
        <v>0.014</v>
      </c>
      <c r="T100" t="s">
        <v>31</v>
      </c>
    </row>
    <row r="101" spans="1:20" ht="15">
      <c r="A101" t="s">
        <v>19</v>
      </c>
      <c r="B101" t="s">
        <v>20</v>
      </c>
      <c r="C101" t="str">
        <f t="shared" si="1"/>
        <v>31-Dec-21</v>
      </c>
      <c r="D101" t="s">
        <v>21</v>
      </c>
      <c r="E101" t="s">
        <v>28</v>
      </c>
      <c r="F101" t="str">
        <f>"6356848"</f>
        <v>6356848</v>
      </c>
      <c r="G101" t="s">
        <v>127</v>
      </c>
      <c r="I101" t="s">
        <v>30</v>
      </c>
      <c r="J101">
        <v>0.007636254</v>
      </c>
      <c r="K101">
        <v>1600</v>
      </c>
      <c r="L101">
        <v>4676134.89</v>
      </c>
      <c r="M101">
        <v>35198.95</v>
      </c>
      <c r="N101">
        <v>2320</v>
      </c>
      <c r="O101">
        <v>3712000</v>
      </c>
      <c r="P101">
        <v>28345.77</v>
      </c>
      <c r="Q101">
        <v>0</v>
      </c>
      <c r="R101">
        <v>0</v>
      </c>
      <c r="S101">
        <v>0.016</v>
      </c>
      <c r="T101" t="s">
        <v>31</v>
      </c>
    </row>
    <row r="102" spans="1:20" ht="15">
      <c r="A102" t="s">
        <v>19</v>
      </c>
      <c r="B102" t="s">
        <v>20</v>
      </c>
      <c r="C102" t="str">
        <f t="shared" si="1"/>
        <v>31-Dec-21</v>
      </c>
      <c r="D102" t="s">
        <v>21</v>
      </c>
      <c r="E102" t="s">
        <v>28</v>
      </c>
      <c r="F102" t="str">
        <f>"6364283"</f>
        <v>6364283</v>
      </c>
      <c r="G102" t="s">
        <v>128</v>
      </c>
      <c r="I102" t="s">
        <v>30</v>
      </c>
      <c r="J102">
        <v>0.007636254</v>
      </c>
      <c r="K102">
        <v>2400</v>
      </c>
      <c r="L102">
        <v>4874311.66</v>
      </c>
      <c r="M102">
        <v>41544.66</v>
      </c>
      <c r="N102">
        <v>2731</v>
      </c>
      <c r="O102">
        <v>6554400</v>
      </c>
      <c r="P102">
        <v>50051.06</v>
      </c>
      <c r="Q102">
        <v>0</v>
      </c>
      <c r="R102">
        <v>0</v>
      </c>
      <c r="S102">
        <v>0.028</v>
      </c>
      <c r="T102" t="s">
        <v>31</v>
      </c>
    </row>
    <row r="103" spans="1:20" ht="15">
      <c r="A103" t="s">
        <v>19</v>
      </c>
      <c r="B103" t="s">
        <v>20</v>
      </c>
      <c r="C103" t="str">
        <f t="shared" si="1"/>
        <v>31-Dec-21</v>
      </c>
      <c r="D103" t="s">
        <v>21</v>
      </c>
      <c r="E103" t="s">
        <v>28</v>
      </c>
      <c r="F103" t="str">
        <f>"6356945"</f>
        <v>6356945</v>
      </c>
      <c r="G103" t="s">
        <v>129</v>
      </c>
      <c r="I103" t="s">
        <v>30</v>
      </c>
      <c r="J103">
        <v>0.007636254</v>
      </c>
      <c r="K103">
        <v>8800</v>
      </c>
      <c r="L103">
        <v>56901635.24</v>
      </c>
      <c r="M103">
        <v>438843.34</v>
      </c>
      <c r="N103">
        <v>19730</v>
      </c>
      <c r="O103">
        <v>173624000</v>
      </c>
      <c r="P103">
        <v>1325836.91</v>
      </c>
      <c r="Q103">
        <v>0</v>
      </c>
      <c r="R103">
        <v>0</v>
      </c>
      <c r="S103">
        <v>0.731</v>
      </c>
      <c r="T103" t="s">
        <v>31</v>
      </c>
    </row>
    <row r="104" spans="1:20" ht="15">
      <c r="A104" t="s">
        <v>19</v>
      </c>
      <c r="B104" t="s">
        <v>20</v>
      </c>
      <c r="C104" t="str">
        <f t="shared" si="1"/>
        <v>31-Dec-21</v>
      </c>
      <c r="D104" t="s">
        <v>21</v>
      </c>
      <c r="E104" t="s">
        <v>28</v>
      </c>
      <c r="F104" t="str">
        <f>"B1TK1Y8"</f>
        <v>B1TK1Y8</v>
      </c>
      <c r="G104" t="s">
        <v>130</v>
      </c>
      <c r="I104" t="s">
        <v>30</v>
      </c>
      <c r="J104">
        <v>0.007636254</v>
      </c>
      <c r="K104">
        <v>8700</v>
      </c>
      <c r="L104">
        <v>22336122.33</v>
      </c>
      <c r="M104">
        <v>168304.44</v>
      </c>
      <c r="N104">
        <v>1971</v>
      </c>
      <c r="O104">
        <v>17147700</v>
      </c>
      <c r="P104">
        <v>130944.19</v>
      </c>
      <c r="Q104">
        <v>0</v>
      </c>
      <c r="R104">
        <v>0</v>
      </c>
      <c r="S104">
        <v>0.072</v>
      </c>
      <c r="T104" t="s">
        <v>31</v>
      </c>
    </row>
    <row r="105" spans="1:20" ht="15">
      <c r="A105" t="s">
        <v>19</v>
      </c>
      <c r="B105" t="s">
        <v>20</v>
      </c>
      <c r="C105" t="str">
        <f t="shared" si="1"/>
        <v>31-Dec-21</v>
      </c>
      <c r="D105" t="s">
        <v>21</v>
      </c>
      <c r="E105" t="s">
        <v>28</v>
      </c>
      <c r="F105" t="str">
        <f>"6357120"</f>
        <v>6357120</v>
      </c>
      <c r="G105" t="s">
        <v>131</v>
      </c>
      <c r="I105" t="s">
        <v>30</v>
      </c>
      <c r="J105">
        <v>0.007636254</v>
      </c>
      <c r="K105">
        <v>1600</v>
      </c>
      <c r="L105">
        <v>4678902.85</v>
      </c>
      <c r="M105">
        <v>36829.19</v>
      </c>
      <c r="N105">
        <v>3925</v>
      </c>
      <c r="O105">
        <v>6280000</v>
      </c>
      <c r="P105">
        <v>47955.67</v>
      </c>
      <c r="Q105">
        <v>0</v>
      </c>
      <c r="R105">
        <v>0</v>
      </c>
      <c r="S105">
        <v>0.026</v>
      </c>
      <c r="T105" t="s">
        <v>31</v>
      </c>
    </row>
    <row r="106" spans="1:20" ht="15">
      <c r="A106" t="s">
        <v>19</v>
      </c>
      <c r="B106" t="s">
        <v>20</v>
      </c>
      <c r="C106" t="str">
        <f t="shared" si="1"/>
        <v>31-Dec-21</v>
      </c>
      <c r="D106" t="s">
        <v>21</v>
      </c>
      <c r="E106" t="s">
        <v>28</v>
      </c>
      <c r="F106" t="str">
        <f>"6357562"</f>
        <v>6357562</v>
      </c>
      <c r="G106" t="s">
        <v>132</v>
      </c>
      <c r="I106" t="s">
        <v>30</v>
      </c>
      <c r="J106">
        <v>0.007636254</v>
      </c>
      <c r="K106">
        <v>2900</v>
      </c>
      <c r="L106">
        <v>12220262.98</v>
      </c>
      <c r="M106">
        <v>91029.95</v>
      </c>
      <c r="N106">
        <v>2322</v>
      </c>
      <c r="O106">
        <v>6733800</v>
      </c>
      <c r="P106">
        <v>51421.01</v>
      </c>
      <c r="Q106">
        <v>0</v>
      </c>
      <c r="R106">
        <v>0</v>
      </c>
      <c r="S106">
        <v>0.028</v>
      </c>
      <c r="T106" t="s">
        <v>31</v>
      </c>
    </row>
    <row r="107" spans="1:20" ht="15">
      <c r="A107" t="s">
        <v>19</v>
      </c>
      <c r="B107" t="s">
        <v>20</v>
      </c>
      <c r="C107" t="str">
        <f t="shared" si="1"/>
        <v>31-Dec-21</v>
      </c>
      <c r="D107" t="s">
        <v>21</v>
      </c>
      <c r="E107" t="s">
        <v>28</v>
      </c>
      <c r="F107" t="str">
        <f>"B03P2F0"</f>
        <v>B03P2F0</v>
      </c>
      <c r="G107" t="s">
        <v>133</v>
      </c>
      <c r="I107" t="s">
        <v>30</v>
      </c>
      <c r="J107">
        <v>0.007636254</v>
      </c>
      <c r="K107">
        <v>800</v>
      </c>
      <c r="L107">
        <v>5478448.35</v>
      </c>
      <c r="M107">
        <v>41394.65</v>
      </c>
      <c r="N107">
        <v>7970</v>
      </c>
      <c r="O107">
        <v>6376000</v>
      </c>
      <c r="P107">
        <v>48688.75</v>
      </c>
      <c r="Q107">
        <v>0</v>
      </c>
      <c r="R107">
        <v>0</v>
      </c>
      <c r="S107">
        <v>0.027</v>
      </c>
      <c r="T107" t="s">
        <v>31</v>
      </c>
    </row>
    <row r="108" spans="1:20" ht="15">
      <c r="A108" t="s">
        <v>19</v>
      </c>
      <c r="B108" t="s">
        <v>20</v>
      </c>
      <c r="C108" t="str">
        <f t="shared" si="1"/>
        <v>31-Dec-21</v>
      </c>
      <c r="D108" t="s">
        <v>21</v>
      </c>
      <c r="E108" t="s">
        <v>28</v>
      </c>
      <c r="F108" t="str">
        <f>"B8RBZV7"</f>
        <v>B8RBZV7</v>
      </c>
      <c r="G108" t="s">
        <v>134</v>
      </c>
      <c r="I108" t="s">
        <v>30</v>
      </c>
      <c r="J108">
        <v>0.007636254</v>
      </c>
      <c r="K108">
        <v>187</v>
      </c>
      <c r="L108">
        <v>31743679.94</v>
      </c>
      <c r="M108">
        <v>248378.98</v>
      </c>
      <c r="N108">
        <v>198900</v>
      </c>
      <c r="O108">
        <v>37194300</v>
      </c>
      <c r="P108">
        <v>284025.11</v>
      </c>
      <c r="Q108">
        <v>0</v>
      </c>
      <c r="R108">
        <v>0</v>
      </c>
      <c r="S108">
        <v>0.157</v>
      </c>
      <c r="T108" t="s">
        <v>31</v>
      </c>
    </row>
    <row r="109" spans="1:20" ht="15">
      <c r="A109" t="s">
        <v>19</v>
      </c>
      <c r="B109" t="s">
        <v>20</v>
      </c>
      <c r="C109" t="str">
        <f t="shared" si="1"/>
        <v>31-Dec-21</v>
      </c>
      <c r="D109" t="s">
        <v>21</v>
      </c>
      <c r="E109" t="s">
        <v>28</v>
      </c>
      <c r="F109" t="str">
        <f>"B06CMQ9"</f>
        <v>B06CMQ9</v>
      </c>
      <c r="G109" t="s">
        <v>135</v>
      </c>
      <c r="I109" t="s">
        <v>30</v>
      </c>
      <c r="J109">
        <v>0.007636254</v>
      </c>
      <c r="K109">
        <v>1800</v>
      </c>
      <c r="L109">
        <v>7215237.94</v>
      </c>
      <c r="M109">
        <v>58586.55</v>
      </c>
      <c r="N109">
        <v>14350</v>
      </c>
      <c r="O109">
        <v>25830000</v>
      </c>
      <c r="P109">
        <v>197244.43</v>
      </c>
      <c r="Q109">
        <v>0</v>
      </c>
      <c r="R109">
        <v>0</v>
      </c>
      <c r="S109">
        <v>0.109</v>
      </c>
      <c r="T109" t="s">
        <v>31</v>
      </c>
    </row>
    <row r="110" spans="1:20" ht="15">
      <c r="A110" t="s">
        <v>19</v>
      </c>
      <c r="B110" t="s">
        <v>20</v>
      </c>
      <c r="C110" t="str">
        <f t="shared" si="1"/>
        <v>31-Dec-21</v>
      </c>
      <c r="D110" t="s">
        <v>21</v>
      </c>
      <c r="E110" t="s">
        <v>28</v>
      </c>
      <c r="F110" t="str">
        <f>"6170167"</f>
        <v>6170167</v>
      </c>
      <c r="G110" t="s">
        <v>136</v>
      </c>
      <c r="I110" t="s">
        <v>30</v>
      </c>
      <c r="J110">
        <v>0.007636254</v>
      </c>
      <c r="K110">
        <v>2800</v>
      </c>
      <c r="L110">
        <v>5143052.32</v>
      </c>
      <c r="M110">
        <v>38860.42</v>
      </c>
      <c r="N110">
        <v>2715</v>
      </c>
      <c r="O110">
        <v>7602000</v>
      </c>
      <c r="P110">
        <v>58050.8</v>
      </c>
      <c r="Q110">
        <v>26656</v>
      </c>
      <c r="R110">
        <v>203.55</v>
      </c>
      <c r="S110">
        <v>0.032</v>
      </c>
      <c r="T110" t="s">
        <v>31</v>
      </c>
    </row>
    <row r="111" spans="1:20" ht="15">
      <c r="A111" t="s">
        <v>19</v>
      </c>
      <c r="B111" t="s">
        <v>20</v>
      </c>
      <c r="C111" t="str">
        <f t="shared" si="1"/>
        <v>31-Dec-21</v>
      </c>
      <c r="D111" t="s">
        <v>21</v>
      </c>
      <c r="E111" t="s">
        <v>28</v>
      </c>
      <c r="F111" t="str">
        <f>"6744250"</f>
        <v>6744250</v>
      </c>
      <c r="G111" t="s">
        <v>137</v>
      </c>
      <c r="I111" t="s">
        <v>30</v>
      </c>
      <c r="J111">
        <v>0.007636254</v>
      </c>
      <c r="K111">
        <v>3959</v>
      </c>
      <c r="L111">
        <v>12142785.31</v>
      </c>
      <c r="M111">
        <v>95766.93</v>
      </c>
      <c r="N111">
        <v>2558</v>
      </c>
      <c r="O111">
        <v>10127122</v>
      </c>
      <c r="P111">
        <v>77333.27</v>
      </c>
      <c r="Q111">
        <v>0</v>
      </c>
      <c r="R111">
        <v>0</v>
      </c>
      <c r="S111">
        <v>0.043</v>
      </c>
      <c r="T111" t="s">
        <v>31</v>
      </c>
    </row>
    <row r="112" spans="1:20" ht="15">
      <c r="A112" t="s">
        <v>19</v>
      </c>
      <c r="B112" t="s">
        <v>20</v>
      </c>
      <c r="C112" t="str">
        <f t="shared" si="1"/>
        <v>31-Dec-21</v>
      </c>
      <c r="D112" t="s">
        <v>21</v>
      </c>
      <c r="E112" t="s">
        <v>28</v>
      </c>
      <c r="F112" t="str">
        <f>"6376169"</f>
        <v>6376169</v>
      </c>
      <c r="G112" t="s">
        <v>138</v>
      </c>
      <c r="I112" t="s">
        <v>30</v>
      </c>
      <c r="J112">
        <v>0.007636254</v>
      </c>
      <c r="K112">
        <v>1500</v>
      </c>
      <c r="L112">
        <v>11183001.32</v>
      </c>
      <c r="M112">
        <v>89054.09</v>
      </c>
      <c r="N112">
        <v>6660</v>
      </c>
      <c r="O112">
        <v>9990000</v>
      </c>
      <c r="P112">
        <v>76286.17</v>
      </c>
      <c r="Q112">
        <v>0</v>
      </c>
      <c r="R112">
        <v>0</v>
      </c>
      <c r="S112">
        <v>0.042</v>
      </c>
      <c r="T112" t="s">
        <v>31</v>
      </c>
    </row>
    <row r="113" spans="1:20" ht="15">
      <c r="A113" t="s">
        <v>19</v>
      </c>
      <c r="B113" t="s">
        <v>20</v>
      </c>
      <c r="C113" t="str">
        <f t="shared" si="1"/>
        <v>31-Dec-21</v>
      </c>
      <c r="D113" t="s">
        <v>21</v>
      </c>
      <c r="E113" t="s">
        <v>28</v>
      </c>
      <c r="F113" t="str">
        <f>"B064D84"</f>
        <v>B064D84</v>
      </c>
      <c r="G113" t="s">
        <v>139</v>
      </c>
      <c r="I113" t="s">
        <v>30</v>
      </c>
      <c r="J113">
        <v>0.007636254</v>
      </c>
      <c r="K113">
        <v>1929</v>
      </c>
      <c r="L113">
        <v>5803988.77</v>
      </c>
      <c r="M113">
        <v>46357.73</v>
      </c>
      <c r="N113">
        <v>2588</v>
      </c>
      <c r="O113">
        <v>4992252</v>
      </c>
      <c r="P113">
        <v>38122.1</v>
      </c>
      <c r="Q113">
        <v>49189.5</v>
      </c>
      <c r="R113">
        <v>375.62</v>
      </c>
      <c r="S113">
        <v>0.021</v>
      </c>
      <c r="T113" t="s">
        <v>31</v>
      </c>
    </row>
    <row r="114" spans="1:20" ht="15">
      <c r="A114" t="s">
        <v>19</v>
      </c>
      <c r="B114" t="s">
        <v>20</v>
      </c>
      <c r="C114" t="str">
        <f t="shared" si="1"/>
        <v>31-Dec-21</v>
      </c>
      <c r="D114" t="s">
        <v>21</v>
      </c>
      <c r="E114" t="s">
        <v>28</v>
      </c>
      <c r="F114" t="str">
        <f>"6356611"</f>
        <v>6356611</v>
      </c>
      <c r="G114" t="s">
        <v>140</v>
      </c>
      <c r="I114" t="s">
        <v>30</v>
      </c>
      <c r="J114">
        <v>0.007636254</v>
      </c>
      <c r="K114">
        <v>2036</v>
      </c>
      <c r="L114">
        <v>9420165.65</v>
      </c>
      <c r="M114">
        <v>73807.08</v>
      </c>
      <c r="N114">
        <v>2920</v>
      </c>
      <c r="O114">
        <v>5945120</v>
      </c>
      <c r="P114">
        <v>45398.44</v>
      </c>
      <c r="Q114">
        <v>0</v>
      </c>
      <c r="R114">
        <v>0</v>
      </c>
      <c r="S114">
        <v>0.025</v>
      </c>
      <c r="T114" t="s">
        <v>31</v>
      </c>
    </row>
    <row r="115" spans="1:20" ht="15">
      <c r="A115" t="s">
        <v>19</v>
      </c>
      <c r="B115" t="s">
        <v>20</v>
      </c>
      <c r="C115" t="str">
        <f t="shared" si="1"/>
        <v>31-Dec-21</v>
      </c>
      <c r="D115" t="s">
        <v>21</v>
      </c>
      <c r="E115" t="s">
        <v>28</v>
      </c>
      <c r="F115" t="str">
        <f>"6400626"</f>
        <v>6400626</v>
      </c>
      <c r="G115" t="s">
        <v>141</v>
      </c>
      <c r="I115" t="s">
        <v>30</v>
      </c>
      <c r="J115">
        <v>0.007636254</v>
      </c>
      <c r="K115">
        <v>16200</v>
      </c>
      <c r="L115">
        <v>10361860.85</v>
      </c>
      <c r="M115">
        <v>78720.94</v>
      </c>
      <c r="N115">
        <v>393</v>
      </c>
      <c r="O115">
        <v>6366600</v>
      </c>
      <c r="P115">
        <v>48616.97</v>
      </c>
      <c r="Q115">
        <v>0</v>
      </c>
      <c r="R115">
        <v>0</v>
      </c>
      <c r="S115">
        <v>0.027</v>
      </c>
      <c r="T115" t="s">
        <v>31</v>
      </c>
    </row>
    <row r="116" spans="1:20" ht="15">
      <c r="A116" t="s">
        <v>19</v>
      </c>
      <c r="B116" t="s">
        <v>20</v>
      </c>
      <c r="C116" t="str">
        <f t="shared" si="1"/>
        <v>31-Dec-21</v>
      </c>
      <c r="D116" t="s">
        <v>21</v>
      </c>
      <c r="E116" t="s">
        <v>28</v>
      </c>
      <c r="F116" t="str">
        <f>"B05LZ02"</f>
        <v>B05LZ02</v>
      </c>
      <c r="G116" t="s">
        <v>142</v>
      </c>
      <c r="I116" t="s">
        <v>30</v>
      </c>
      <c r="J116">
        <v>0.007636254</v>
      </c>
      <c r="K116">
        <v>11300</v>
      </c>
      <c r="L116">
        <v>8598230.71</v>
      </c>
      <c r="M116">
        <v>65846.07</v>
      </c>
      <c r="N116">
        <v>1916</v>
      </c>
      <c r="O116">
        <v>21650800</v>
      </c>
      <c r="P116">
        <v>165331</v>
      </c>
      <c r="Q116">
        <v>0</v>
      </c>
      <c r="R116">
        <v>0</v>
      </c>
      <c r="S116">
        <v>0.091</v>
      </c>
      <c r="T116" t="s">
        <v>31</v>
      </c>
    </row>
    <row r="117" spans="1:20" ht="15">
      <c r="A117" t="s">
        <v>19</v>
      </c>
      <c r="B117" t="s">
        <v>20</v>
      </c>
      <c r="C117" t="str">
        <f t="shared" si="1"/>
        <v>31-Dec-21</v>
      </c>
      <c r="D117" t="s">
        <v>21</v>
      </c>
      <c r="E117" t="s">
        <v>28</v>
      </c>
      <c r="F117" t="str">
        <f>"6405870"</f>
        <v>6405870</v>
      </c>
      <c r="G117" t="s">
        <v>143</v>
      </c>
      <c r="I117" t="s">
        <v>30</v>
      </c>
      <c r="J117">
        <v>0.007636254</v>
      </c>
      <c r="K117">
        <v>6100</v>
      </c>
      <c r="L117">
        <v>15420230.85</v>
      </c>
      <c r="M117">
        <v>122097.32</v>
      </c>
      <c r="N117">
        <v>7340</v>
      </c>
      <c r="O117">
        <v>44774000</v>
      </c>
      <c r="P117">
        <v>341905.62</v>
      </c>
      <c r="Q117">
        <v>0</v>
      </c>
      <c r="R117">
        <v>0</v>
      </c>
      <c r="S117">
        <v>0.188</v>
      </c>
      <c r="T117" t="s">
        <v>31</v>
      </c>
    </row>
    <row r="118" spans="1:20" ht="15">
      <c r="A118" t="s">
        <v>19</v>
      </c>
      <c r="B118" t="s">
        <v>20</v>
      </c>
      <c r="C118" t="str">
        <f t="shared" si="1"/>
        <v>31-Dec-21</v>
      </c>
      <c r="D118" t="s">
        <v>21</v>
      </c>
      <c r="E118" t="s">
        <v>28</v>
      </c>
      <c r="F118" t="str">
        <f>"6408664"</f>
        <v>6408664</v>
      </c>
      <c r="G118" t="s">
        <v>144</v>
      </c>
      <c r="I118" t="s">
        <v>30</v>
      </c>
      <c r="J118">
        <v>0.007636254</v>
      </c>
      <c r="K118">
        <v>9500</v>
      </c>
      <c r="L118">
        <v>27378487.41</v>
      </c>
      <c r="M118">
        <v>212114.26</v>
      </c>
      <c r="N118">
        <v>3265</v>
      </c>
      <c r="O118">
        <v>31017500</v>
      </c>
      <c r="P118">
        <v>236857.5</v>
      </c>
      <c r="Q118">
        <v>0</v>
      </c>
      <c r="R118">
        <v>0</v>
      </c>
      <c r="S118">
        <v>0.131</v>
      </c>
      <c r="T118" t="s">
        <v>31</v>
      </c>
    </row>
    <row r="119" spans="1:20" ht="15">
      <c r="A119" t="s">
        <v>19</v>
      </c>
      <c r="B119" t="s">
        <v>20</v>
      </c>
      <c r="C119" t="str">
        <f t="shared" si="1"/>
        <v>31-Dec-21</v>
      </c>
      <c r="D119" t="s">
        <v>21</v>
      </c>
      <c r="E119" t="s">
        <v>28</v>
      </c>
      <c r="F119" t="str">
        <f>"6414401"</f>
        <v>6414401</v>
      </c>
      <c r="G119" t="s">
        <v>145</v>
      </c>
      <c r="I119" t="s">
        <v>30</v>
      </c>
      <c r="J119">
        <v>0.007636254</v>
      </c>
      <c r="K119">
        <v>11500</v>
      </c>
      <c r="L119">
        <v>11729028.7</v>
      </c>
      <c r="M119">
        <v>87680.41</v>
      </c>
      <c r="N119">
        <v>1426</v>
      </c>
      <c r="O119">
        <v>16399000</v>
      </c>
      <c r="P119">
        <v>125226.92</v>
      </c>
      <c r="Q119">
        <v>0</v>
      </c>
      <c r="R119">
        <v>0</v>
      </c>
      <c r="S119">
        <v>0.069</v>
      </c>
      <c r="T119" t="s">
        <v>31</v>
      </c>
    </row>
    <row r="120" spans="1:20" ht="15">
      <c r="A120" t="s">
        <v>19</v>
      </c>
      <c r="B120" t="s">
        <v>20</v>
      </c>
      <c r="C120" t="str">
        <f t="shared" si="1"/>
        <v>31-Dec-21</v>
      </c>
      <c r="D120" t="s">
        <v>21</v>
      </c>
      <c r="E120" t="s">
        <v>28</v>
      </c>
      <c r="F120" t="str">
        <f>"6419581"</f>
        <v>6419581</v>
      </c>
      <c r="G120" t="s">
        <v>146</v>
      </c>
      <c r="I120" t="s">
        <v>30</v>
      </c>
      <c r="J120">
        <v>0.007636254</v>
      </c>
      <c r="K120">
        <v>1900</v>
      </c>
      <c r="L120">
        <v>3044624.2</v>
      </c>
      <c r="M120">
        <v>24005.08</v>
      </c>
      <c r="N120">
        <v>1894</v>
      </c>
      <c r="O120">
        <v>3598600</v>
      </c>
      <c r="P120">
        <v>27479.82</v>
      </c>
      <c r="Q120">
        <v>0</v>
      </c>
      <c r="R120">
        <v>0</v>
      </c>
      <c r="S120">
        <v>0.015</v>
      </c>
      <c r="T120" t="s">
        <v>31</v>
      </c>
    </row>
    <row r="121" spans="1:20" ht="15">
      <c r="A121" t="s">
        <v>19</v>
      </c>
      <c r="B121" t="s">
        <v>20</v>
      </c>
      <c r="C121" t="str">
        <f t="shared" si="1"/>
        <v>31-Dec-21</v>
      </c>
      <c r="D121" t="s">
        <v>21</v>
      </c>
      <c r="E121" t="s">
        <v>28</v>
      </c>
      <c r="F121" t="str">
        <f>"6416322"</f>
        <v>6416322</v>
      </c>
      <c r="G121" t="s">
        <v>147</v>
      </c>
      <c r="I121" t="s">
        <v>30</v>
      </c>
      <c r="J121">
        <v>0.007636254</v>
      </c>
      <c r="K121">
        <v>1000</v>
      </c>
      <c r="L121">
        <v>9754224.48</v>
      </c>
      <c r="M121">
        <v>73559.28</v>
      </c>
      <c r="N121">
        <v>17710</v>
      </c>
      <c r="O121">
        <v>17710000</v>
      </c>
      <c r="P121">
        <v>135238.05</v>
      </c>
      <c r="Q121">
        <v>102850</v>
      </c>
      <c r="R121">
        <v>785.39</v>
      </c>
      <c r="S121">
        <v>0.075</v>
      </c>
      <c r="T121" t="s">
        <v>31</v>
      </c>
    </row>
    <row r="122" spans="1:20" ht="15">
      <c r="A122" t="s">
        <v>19</v>
      </c>
      <c r="B122" t="s">
        <v>20</v>
      </c>
      <c r="C122" t="str">
        <f t="shared" si="1"/>
        <v>31-Dec-21</v>
      </c>
      <c r="D122" t="s">
        <v>21</v>
      </c>
      <c r="E122" t="s">
        <v>28</v>
      </c>
      <c r="F122" t="str">
        <f>"6428305"</f>
        <v>6428305</v>
      </c>
      <c r="G122" t="s">
        <v>148</v>
      </c>
      <c r="I122" t="s">
        <v>30</v>
      </c>
      <c r="J122">
        <v>0.007636254</v>
      </c>
      <c r="K122">
        <v>13700</v>
      </c>
      <c r="L122">
        <v>13917739.41</v>
      </c>
      <c r="M122">
        <v>106723.17</v>
      </c>
      <c r="N122">
        <v>948</v>
      </c>
      <c r="O122">
        <v>12987600</v>
      </c>
      <c r="P122">
        <v>99176.61</v>
      </c>
      <c r="Q122">
        <v>0</v>
      </c>
      <c r="R122">
        <v>0</v>
      </c>
      <c r="S122">
        <v>0.055</v>
      </c>
      <c r="T122" t="s">
        <v>31</v>
      </c>
    </row>
    <row r="123" spans="1:20" ht="15">
      <c r="A123" t="s">
        <v>19</v>
      </c>
      <c r="B123" t="s">
        <v>20</v>
      </c>
      <c r="C123" t="str">
        <f t="shared" si="1"/>
        <v>31-Dec-21</v>
      </c>
      <c r="D123" t="s">
        <v>21</v>
      </c>
      <c r="E123" t="s">
        <v>28</v>
      </c>
      <c r="F123" t="str">
        <f>"BJK6DZ6"</f>
        <v>BJK6DZ6</v>
      </c>
      <c r="G123" t="s">
        <v>149</v>
      </c>
      <c r="I123" t="s">
        <v>30</v>
      </c>
      <c r="J123">
        <v>0.007636254</v>
      </c>
      <c r="K123">
        <v>14100</v>
      </c>
      <c r="L123">
        <v>13307510.39</v>
      </c>
      <c r="M123">
        <v>101620</v>
      </c>
      <c r="N123">
        <v>689</v>
      </c>
      <c r="O123">
        <v>9714900</v>
      </c>
      <c r="P123">
        <v>74185.44</v>
      </c>
      <c r="Q123">
        <v>0</v>
      </c>
      <c r="R123">
        <v>0</v>
      </c>
      <c r="S123">
        <v>0.041</v>
      </c>
      <c r="T123" t="s">
        <v>31</v>
      </c>
    </row>
    <row r="124" spans="1:20" ht="15">
      <c r="A124" t="s">
        <v>19</v>
      </c>
      <c r="B124" t="s">
        <v>20</v>
      </c>
      <c r="C124" t="str">
        <f t="shared" si="1"/>
        <v>31-Dec-21</v>
      </c>
      <c r="D124" t="s">
        <v>21</v>
      </c>
      <c r="E124" t="s">
        <v>28</v>
      </c>
      <c r="F124" t="str">
        <f>"6428725"</f>
        <v>6428725</v>
      </c>
      <c r="G124" t="s">
        <v>150</v>
      </c>
      <c r="I124" t="s">
        <v>30</v>
      </c>
      <c r="J124">
        <v>0.007636254</v>
      </c>
      <c r="K124">
        <v>1505</v>
      </c>
      <c r="L124">
        <v>17635071.27</v>
      </c>
      <c r="M124">
        <v>139076.8</v>
      </c>
      <c r="N124">
        <v>19340</v>
      </c>
      <c r="O124">
        <v>29106700</v>
      </c>
      <c r="P124">
        <v>222266.15</v>
      </c>
      <c r="Q124">
        <v>0</v>
      </c>
      <c r="R124">
        <v>0</v>
      </c>
      <c r="S124">
        <v>0.123</v>
      </c>
      <c r="T124" t="s">
        <v>31</v>
      </c>
    </row>
    <row r="125" spans="1:20" ht="15">
      <c r="A125" t="s">
        <v>19</v>
      </c>
      <c r="B125" t="s">
        <v>20</v>
      </c>
      <c r="C125" t="str">
        <f t="shared" si="1"/>
        <v>31-Dec-21</v>
      </c>
      <c r="D125" t="s">
        <v>21</v>
      </c>
      <c r="E125" t="s">
        <v>28</v>
      </c>
      <c r="F125" t="str">
        <f>"6428907"</f>
        <v>6428907</v>
      </c>
      <c r="G125" t="s">
        <v>151</v>
      </c>
      <c r="I125" t="s">
        <v>30</v>
      </c>
      <c r="J125">
        <v>0.007636254</v>
      </c>
      <c r="K125">
        <v>3100</v>
      </c>
      <c r="L125">
        <v>14406325.27</v>
      </c>
      <c r="M125">
        <v>116048.15</v>
      </c>
      <c r="N125">
        <v>3975</v>
      </c>
      <c r="O125">
        <v>12322500</v>
      </c>
      <c r="P125">
        <v>94097.74</v>
      </c>
      <c r="Q125">
        <v>0</v>
      </c>
      <c r="R125">
        <v>0</v>
      </c>
      <c r="S125">
        <v>0.052</v>
      </c>
      <c r="T125" t="s">
        <v>31</v>
      </c>
    </row>
    <row r="126" spans="1:20" ht="15">
      <c r="A126" t="s">
        <v>19</v>
      </c>
      <c r="B126" t="s">
        <v>20</v>
      </c>
      <c r="C126" t="str">
        <f t="shared" si="1"/>
        <v>31-Dec-21</v>
      </c>
      <c r="D126" t="s">
        <v>21</v>
      </c>
      <c r="E126" t="s">
        <v>28</v>
      </c>
      <c r="F126" t="str">
        <f>"6429405"</f>
        <v>6429405</v>
      </c>
      <c r="G126" t="s">
        <v>152</v>
      </c>
      <c r="I126" t="s">
        <v>30</v>
      </c>
      <c r="J126">
        <v>0.007636254</v>
      </c>
      <c r="K126">
        <v>5300</v>
      </c>
      <c r="L126">
        <v>11475015.27</v>
      </c>
      <c r="M126">
        <v>89275.77</v>
      </c>
      <c r="N126">
        <v>3325</v>
      </c>
      <c r="O126">
        <v>17622500</v>
      </c>
      <c r="P126">
        <v>134569.88</v>
      </c>
      <c r="Q126">
        <v>0</v>
      </c>
      <c r="R126">
        <v>0</v>
      </c>
      <c r="S126">
        <v>0.074</v>
      </c>
      <c r="T126" t="s">
        <v>31</v>
      </c>
    </row>
    <row r="127" spans="1:20" ht="15">
      <c r="A127" t="s">
        <v>19</v>
      </c>
      <c r="B127" t="s">
        <v>20</v>
      </c>
      <c r="C127" t="str">
        <f t="shared" si="1"/>
        <v>31-Dec-21</v>
      </c>
      <c r="D127" t="s">
        <v>21</v>
      </c>
      <c r="E127" t="s">
        <v>28</v>
      </c>
      <c r="F127" t="str">
        <f>"6429104"</f>
        <v>6429104</v>
      </c>
      <c r="G127" t="s">
        <v>153</v>
      </c>
      <c r="I127" t="s">
        <v>30</v>
      </c>
      <c r="J127">
        <v>0.007636254</v>
      </c>
      <c r="K127">
        <v>43000</v>
      </c>
      <c r="L127">
        <v>128170265.57</v>
      </c>
      <c r="M127">
        <v>1004767.57</v>
      </c>
      <c r="N127">
        <v>6230</v>
      </c>
      <c r="O127">
        <v>267890000</v>
      </c>
      <c r="P127">
        <v>2045676.01</v>
      </c>
      <c r="Q127">
        <v>0</v>
      </c>
      <c r="R127">
        <v>0</v>
      </c>
      <c r="S127">
        <v>1.128</v>
      </c>
      <c r="T127" t="s">
        <v>31</v>
      </c>
    </row>
    <row r="128" spans="1:20" ht="15">
      <c r="A128" t="s">
        <v>19</v>
      </c>
      <c r="B128" t="s">
        <v>20</v>
      </c>
      <c r="C128" t="str">
        <f t="shared" si="1"/>
        <v>31-Dec-21</v>
      </c>
      <c r="D128" t="s">
        <v>21</v>
      </c>
      <c r="E128" t="s">
        <v>28</v>
      </c>
      <c r="F128" t="str">
        <f>"6429201"</f>
        <v>6429201</v>
      </c>
      <c r="G128" t="s">
        <v>154</v>
      </c>
      <c r="I128" t="s">
        <v>30</v>
      </c>
      <c r="J128">
        <v>0.007636254</v>
      </c>
      <c r="K128">
        <v>9400</v>
      </c>
      <c r="L128">
        <v>11411867.95</v>
      </c>
      <c r="M128">
        <v>86757.54</v>
      </c>
      <c r="N128">
        <v>2131</v>
      </c>
      <c r="O128">
        <v>20031400</v>
      </c>
      <c r="P128">
        <v>152964.85</v>
      </c>
      <c r="Q128">
        <v>0</v>
      </c>
      <c r="R128">
        <v>0</v>
      </c>
      <c r="S128">
        <v>0.084</v>
      </c>
      <c r="T128" t="s">
        <v>31</v>
      </c>
    </row>
    <row r="129" spans="1:20" ht="15">
      <c r="A129" t="s">
        <v>19</v>
      </c>
      <c r="B129" t="s">
        <v>20</v>
      </c>
      <c r="C129" t="str">
        <f t="shared" si="1"/>
        <v>31-Dec-21</v>
      </c>
      <c r="D129" t="s">
        <v>21</v>
      </c>
      <c r="E129" t="s">
        <v>28</v>
      </c>
      <c r="F129" t="str">
        <f>"6429234"</f>
        <v>6429234</v>
      </c>
      <c r="G129" t="s">
        <v>155</v>
      </c>
      <c r="I129" t="s">
        <v>30</v>
      </c>
      <c r="J129">
        <v>0.007636254</v>
      </c>
      <c r="K129">
        <v>1305</v>
      </c>
      <c r="L129">
        <v>2290617.5</v>
      </c>
      <c r="M129">
        <v>20007.77</v>
      </c>
      <c r="N129">
        <v>5400</v>
      </c>
      <c r="O129">
        <v>7047000</v>
      </c>
      <c r="P129">
        <v>53812.68</v>
      </c>
      <c r="Q129">
        <v>0</v>
      </c>
      <c r="R129">
        <v>0</v>
      </c>
      <c r="S129">
        <v>0.03</v>
      </c>
      <c r="T129" t="s">
        <v>31</v>
      </c>
    </row>
    <row r="130" spans="1:20" ht="15">
      <c r="A130" t="s">
        <v>19</v>
      </c>
      <c r="B130" t="s">
        <v>20</v>
      </c>
      <c r="C130" t="str">
        <f aca="true" t="shared" si="2" ref="C130:C193">"31-Dec-21"</f>
        <v>31-Dec-21</v>
      </c>
      <c r="D130" t="s">
        <v>21</v>
      </c>
      <c r="E130" t="s">
        <v>28</v>
      </c>
      <c r="F130" t="str">
        <f>"6435145"</f>
        <v>6435145</v>
      </c>
      <c r="G130" t="s">
        <v>156</v>
      </c>
      <c r="I130" t="s">
        <v>30</v>
      </c>
      <c r="J130">
        <v>0.007636254</v>
      </c>
      <c r="K130">
        <v>79100</v>
      </c>
      <c r="L130">
        <v>263965998.72</v>
      </c>
      <c r="M130">
        <v>2068607.26</v>
      </c>
      <c r="N130">
        <v>3230</v>
      </c>
      <c r="O130">
        <v>255493000</v>
      </c>
      <c r="P130">
        <v>1951009.37</v>
      </c>
      <c r="Q130">
        <v>0</v>
      </c>
      <c r="R130">
        <v>0</v>
      </c>
      <c r="S130">
        <v>1.076</v>
      </c>
      <c r="T130" t="s">
        <v>31</v>
      </c>
    </row>
    <row r="131" spans="1:20" ht="15">
      <c r="A131" t="s">
        <v>19</v>
      </c>
      <c r="B131" t="s">
        <v>20</v>
      </c>
      <c r="C131" t="str">
        <f t="shared" si="2"/>
        <v>31-Dec-21</v>
      </c>
      <c r="D131" t="s">
        <v>21</v>
      </c>
      <c r="E131" t="s">
        <v>28</v>
      </c>
      <c r="F131" t="str">
        <f>"6437947"</f>
        <v>6437947</v>
      </c>
      <c r="G131" t="s">
        <v>157</v>
      </c>
      <c r="I131" t="s">
        <v>30</v>
      </c>
      <c r="J131">
        <v>0.007636254</v>
      </c>
      <c r="K131">
        <v>1800</v>
      </c>
      <c r="L131">
        <v>9406087.84</v>
      </c>
      <c r="M131">
        <v>80242.83</v>
      </c>
      <c r="N131">
        <v>6760</v>
      </c>
      <c r="O131">
        <v>12168000</v>
      </c>
      <c r="P131">
        <v>92917.94</v>
      </c>
      <c r="Q131">
        <v>122400</v>
      </c>
      <c r="R131">
        <v>934.68</v>
      </c>
      <c r="S131">
        <v>0.052</v>
      </c>
      <c r="T131" t="s">
        <v>31</v>
      </c>
    </row>
    <row r="132" spans="1:20" ht="15">
      <c r="A132" t="s">
        <v>19</v>
      </c>
      <c r="B132" t="s">
        <v>20</v>
      </c>
      <c r="C132" t="str">
        <f t="shared" si="2"/>
        <v>31-Dec-21</v>
      </c>
      <c r="D132" t="s">
        <v>21</v>
      </c>
      <c r="E132" t="s">
        <v>28</v>
      </c>
      <c r="F132" t="str">
        <f>"B3FF8W8"</f>
        <v>B3FF8W8</v>
      </c>
      <c r="G132" t="s">
        <v>158</v>
      </c>
      <c r="I132" t="s">
        <v>30</v>
      </c>
      <c r="J132">
        <v>0.007636254</v>
      </c>
      <c r="K132">
        <v>2500</v>
      </c>
      <c r="L132">
        <v>14083838.65</v>
      </c>
      <c r="M132">
        <v>116786.03</v>
      </c>
      <c r="N132">
        <v>8650</v>
      </c>
      <c r="O132">
        <v>21625000</v>
      </c>
      <c r="P132">
        <v>165133.99</v>
      </c>
      <c r="Q132">
        <v>233750</v>
      </c>
      <c r="R132">
        <v>1784.97</v>
      </c>
      <c r="S132">
        <v>0.092</v>
      </c>
      <c r="T132" t="s">
        <v>31</v>
      </c>
    </row>
    <row r="133" spans="1:20" ht="15">
      <c r="A133" t="s">
        <v>19</v>
      </c>
      <c r="B133" t="s">
        <v>20</v>
      </c>
      <c r="C133" t="str">
        <f t="shared" si="2"/>
        <v>31-Dec-21</v>
      </c>
      <c r="D133" t="s">
        <v>21</v>
      </c>
      <c r="E133" t="s">
        <v>28</v>
      </c>
      <c r="F133" t="str">
        <f>"6440503"</f>
        <v>6440503</v>
      </c>
      <c r="G133" t="s">
        <v>159</v>
      </c>
      <c r="I133" t="s">
        <v>30</v>
      </c>
      <c r="J133">
        <v>0.007636254</v>
      </c>
      <c r="K133">
        <v>2800</v>
      </c>
      <c r="L133">
        <v>7281715.22</v>
      </c>
      <c r="M133">
        <v>57229.39</v>
      </c>
      <c r="N133">
        <v>2901</v>
      </c>
      <c r="O133">
        <v>8122800</v>
      </c>
      <c r="P133">
        <v>62027.76</v>
      </c>
      <c r="Q133">
        <v>0</v>
      </c>
      <c r="R133">
        <v>0</v>
      </c>
      <c r="S133">
        <v>0.034</v>
      </c>
      <c r="T133" t="s">
        <v>31</v>
      </c>
    </row>
    <row r="134" spans="1:20" ht="15">
      <c r="A134" t="s">
        <v>19</v>
      </c>
      <c r="B134" t="s">
        <v>20</v>
      </c>
      <c r="C134" t="str">
        <f t="shared" si="2"/>
        <v>31-Dec-21</v>
      </c>
      <c r="D134" t="s">
        <v>21</v>
      </c>
      <c r="E134" t="s">
        <v>28</v>
      </c>
      <c r="F134" t="str">
        <f>"6441506"</f>
        <v>6441506</v>
      </c>
      <c r="G134" t="s">
        <v>160</v>
      </c>
      <c r="I134" t="s">
        <v>30</v>
      </c>
      <c r="J134">
        <v>0.007636254</v>
      </c>
      <c r="K134">
        <v>16600</v>
      </c>
      <c r="L134">
        <v>54594735.88</v>
      </c>
      <c r="M134">
        <v>435043.16</v>
      </c>
      <c r="N134">
        <v>17110</v>
      </c>
      <c r="O134">
        <v>284026000</v>
      </c>
      <c r="P134">
        <v>2168894.6</v>
      </c>
      <c r="Q134">
        <v>0</v>
      </c>
      <c r="R134">
        <v>0</v>
      </c>
      <c r="S134">
        <v>1.196</v>
      </c>
      <c r="T134" t="s">
        <v>31</v>
      </c>
    </row>
    <row r="135" spans="1:20" ht="15">
      <c r="A135" t="s">
        <v>19</v>
      </c>
      <c r="B135" t="s">
        <v>20</v>
      </c>
      <c r="C135" t="str">
        <f t="shared" si="2"/>
        <v>31-Dec-21</v>
      </c>
      <c r="D135" t="s">
        <v>21</v>
      </c>
      <c r="E135" t="s">
        <v>28</v>
      </c>
      <c r="F135" t="str">
        <f>"6805317"</f>
        <v>6805317</v>
      </c>
      <c r="G135" t="s">
        <v>161</v>
      </c>
      <c r="I135" t="s">
        <v>30</v>
      </c>
      <c r="J135">
        <v>0.007636254</v>
      </c>
      <c r="K135">
        <v>18800</v>
      </c>
      <c r="L135">
        <v>16302752.99</v>
      </c>
      <c r="M135">
        <v>129956.02</v>
      </c>
      <c r="N135">
        <v>1092</v>
      </c>
      <c r="O135">
        <v>20529600</v>
      </c>
      <c r="P135">
        <v>156769.23</v>
      </c>
      <c r="Q135">
        <v>303620</v>
      </c>
      <c r="R135">
        <v>2318.52</v>
      </c>
      <c r="S135">
        <v>0.088</v>
      </c>
      <c r="T135" t="s">
        <v>31</v>
      </c>
    </row>
    <row r="136" spans="1:20" ht="15">
      <c r="A136" t="s">
        <v>19</v>
      </c>
      <c r="B136" t="s">
        <v>20</v>
      </c>
      <c r="C136" t="str">
        <f t="shared" si="2"/>
        <v>31-Dec-21</v>
      </c>
      <c r="D136" t="s">
        <v>21</v>
      </c>
      <c r="E136" t="s">
        <v>28</v>
      </c>
      <c r="F136" t="str">
        <f>"6466985"</f>
        <v>6466985</v>
      </c>
      <c r="G136" t="s">
        <v>162</v>
      </c>
      <c r="I136" t="s">
        <v>30</v>
      </c>
      <c r="J136">
        <v>0.007636254</v>
      </c>
      <c r="K136">
        <v>6200</v>
      </c>
      <c r="L136">
        <v>21257246.5</v>
      </c>
      <c r="M136">
        <v>162392.27</v>
      </c>
      <c r="N136">
        <v>2316</v>
      </c>
      <c r="O136">
        <v>14359200</v>
      </c>
      <c r="P136">
        <v>109650.49</v>
      </c>
      <c r="Q136">
        <v>0</v>
      </c>
      <c r="R136">
        <v>0</v>
      </c>
      <c r="S136">
        <v>0.06</v>
      </c>
      <c r="T136" t="s">
        <v>31</v>
      </c>
    </row>
    <row r="137" spans="1:20" ht="15">
      <c r="A137" t="s">
        <v>19</v>
      </c>
      <c r="B137" t="s">
        <v>20</v>
      </c>
      <c r="C137" t="str">
        <f t="shared" si="2"/>
        <v>31-Dec-21</v>
      </c>
      <c r="D137" t="s">
        <v>21</v>
      </c>
      <c r="E137" t="s">
        <v>28</v>
      </c>
      <c r="F137" t="str">
        <f>"BLGYFQ3"</f>
        <v>BLGYFQ3</v>
      </c>
      <c r="G137" t="s">
        <v>163</v>
      </c>
      <c r="I137" t="s">
        <v>30</v>
      </c>
      <c r="J137">
        <v>0.007636254</v>
      </c>
      <c r="K137">
        <v>8476</v>
      </c>
      <c r="L137">
        <v>9187705.1</v>
      </c>
      <c r="M137">
        <v>70260.44</v>
      </c>
      <c r="N137">
        <v>1048</v>
      </c>
      <c r="O137">
        <v>8882848</v>
      </c>
      <c r="P137">
        <v>67831.68</v>
      </c>
      <c r="Q137">
        <v>0</v>
      </c>
      <c r="R137">
        <v>0</v>
      </c>
      <c r="S137">
        <v>0.037</v>
      </c>
      <c r="T137" t="s">
        <v>31</v>
      </c>
    </row>
    <row r="138" spans="1:20" ht="15">
      <c r="A138" t="s">
        <v>19</v>
      </c>
      <c r="B138" t="s">
        <v>20</v>
      </c>
      <c r="C138" t="str">
        <f t="shared" si="2"/>
        <v>31-Dec-21</v>
      </c>
      <c r="D138" t="s">
        <v>21</v>
      </c>
      <c r="E138" t="s">
        <v>28</v>
      </c>
      <c r="F138" t="str">
        <f>"BV8TBH9"</f>
        <v>BV8TBH9</v>
      </c>
      <c r="G138" t="s">
        <v>164</v>
      </c>
      <c r="I138" t="s">
        <v>30</v>
      </c>
      <c r="J138">
        <v>0.007636254</v>
      </c>
      <c r="K138">
        <v>500</v>
      </c>
      <c r="L138">
        <v>6791229.17</v>
      </c>
      <c r="M138">
        <v>52384.94</v>
      </c>
      <c r="N138">
        <v>6870</v>
      </c>
      <c r="O138">
        <v>3435000</v>
      </c>
      <c r="P138">
        <v>26230.53</v>
      </c>
      <c r="Q138">
        <v>0</v>
      </c>
      <c r="R138">
        <v>0</v>
      </c>
      <c r="S138">
        <v>0.014</v>
      </c>
      <c r="T138" t="s">
        <v>31</v>
      </c>
    </row>
    <row r="139" spans="1:20" ht="15">
      <c r="A139" t="s">
        <v>19</v>
      </c>
      <c r="B139" t="s">
        <v>20</v>
      </c>
      <c r="C139" t="str">
        <f t="shared" si="2"/>
        <v>31-Dec-21</v>
      </c>
      <c r="D139" t="s">
        <v>21</v>
      </c>
      <c r="E139" t="s">
        <v>28</v>
      </c>
      <c r="F139" t="str">
        <f>"6467803"</f>
        <v>6467803</v>
      </c>
      <c r="G139" t="s">
        <v>165</v>
      </c>
      <c r="I139" t="s">
        <v>30</v>
      </c>
      <c r="J139">
        <v>0.007636254</v>
      </c>
      <c r="K139">
        <v>63500</v>
      </c>
      <c r="L139">
        <v>77226173.76</v>
      </c>
      <c r="M139">
        <v>610465.33</v>
      </c>
      <c r="N139">
        <v>3518</v>
      </c>
      <c r="O139">
        <v>223393000</v>
      </c>
      <c r="P139">
        <v>1705885.63</v>
      </c>
      <c r="Q139">
        <v>0</v>
      </c>
      <c r="R139">
        <v>0</v>
      </c>
      <c r="S139">
        <v>0.94</v>
      </c>
      <c r="T139" t="s">
        <v>31</v>
      </c>
    </row>
    <row r="140" spans="1:20" ht="15">
      <c r="A140" t="s">
        <v>19</v>
      </c>
      <c r="B140" t="s">
        <v>20</v>
      </c>
      <c r="C140" t="str">
        <f t="shared" si="2"/>
        <v>31-Dec-21</v>
      </c>
      <c r="D140" t="s">
        <v>21</v>
      </c>
      <c r="E140" t="s">
        <v>28</v>
      </c>
      <c r="F140" t="str">
        <f>"6456102"</f>
        <v>6456102</v>
      </c>
      <c r="G140" t="s">
        <v>166</v>
      </c>
      <c r="I140" t="s">
        <v>30</v>
      </c>
      <c r="J140">
        <v>0.007636254</v>
      </c>
      <c r="K140">
        <v>5000</v>
      </c>
      <c r="L140">
        <v>13654002.65</v>
      </c>
      <c r="M140">
        <v>102757.04</v>
      </c>
      <c r="N140">
        <v>6840</v>
      </c>
      <c r="O140">
        <v>34200000</v>
      </c>
      <c r="P140">
        <v>261159.88</v>
      </c>
      <c r="Q140">
        <v>0</v>
      </c>
      <c r="R140">
        <v>0</v>
      </c>
      <c r="S140">
        <v>0.144</v>
      </c>
      <c r="T140" t="s">
        <v>31</v>
      </c>
    </row>
    <row r="141" spans="1:20" ht="15">
      <c r="A141" t="s">
        <v>19</v>
      </c>
      <c r="B141" t="s">
        <v>20</v>
      </c>
      <c r="C141" t="str">
        <f t="shared" si="2"/>
        <v>31-Dec-21</v>
      </c>
      <c r="D141" t="s">
        <v>21</v>
      </c>
      <c r="E141" t="s">
        <v>28</v>
      </c>
      <c r="F141" t="str">
        <f>"6549767"</f>
        <v>6549767</v>
      </c>
      <c r="G141" t="s">
        <v>167</v>
      </c>
      <c r="I141" t="s">
        <v>30</v>
      </c>
      <c r="J141">
        <v>0.007636254</v>
      </c>
      <c r="K141">
        <v>13500</v>
      </c>
      <c r="L141">
        <v>5402042.69</v>
      </c>
      <c r="M141">
        <v>46265.39</v>
      </c>
      <c r="N141">
        <v>280</v>
      </c>
      <c r="O141">
        <v>3780000</v>
      </c>
      <c r="P141">
        <v>28865.04</v>
      </c>
      <c r="Q141">
        <v>0</v>
      </c>
      <c r="R141">
        <v>0</v>
      </c>
      <c r="S141">
        <v>0.016</v>
      </c>
      <c r="T141" t="s">
        <v>31</v>
      </c>
    </row>
    <row r="142" spans="1:20" ht="15">
      <c r="A142" t="s">
        <v>19</v>
      </c>
      <c r="B142" t="s">
        <v>20</v>
      </c>
      <c r="C142" t="str">
        <f t="shared" si="2"/>
        <v>31-Dec-21</v>
      </c>
      <c r="D142" t="s">
        <v>21</v>
      </c>
      <c r="E142" t="s">
        <v>28</v>
      </c>
      <c r="F142" t="str">
        <f>"B1FF8P7"</f>
        <v>B1FF8P7</v>
      </c>
      <c r="G142" t="s">
        <v>168</v>
      </c>
      <c r="I142" t="s">
        <v>30</v>
      </c>
      <c r="J142">
        <v>0.007636254</v>
      </c>
      <c r="K142">
        <v>11287</v>
      </c>
      <c r="L142">
        <v>27754093.24</v>
      </c>
      <c r="M142">
        <v>215667</v>
      </c>
      <c r="N142">
        <v>2937</v>
      </c>
      <c r="O142">
        <v>33149919</v>
      </c>
      <c r="P142">
        <v>253141.19</v>
      </c>
      <c r="Q142">
        <v>0</v>
      </c>
      <c r="R142">
        <v>0</v>
      </c>
      <c r="S142">
        <v>0.14</v>
      </c>
      <c r="T142" t="s">
        <v>31</v>
      </c>
    </row>
    <row r="143" spans="1:20" ht="15">
      <c r="A143" t="s">
        <v>19</v>
      </c>
      <c r="B143" t="s">
        <v>20</v>
      </c>
      <c r="C143" t="str">
        <f t="shared" si="2"/>
        <v>31-Dec-21</v>
      </c>
      <c r="D143" t="s">
        <v>21</v>
      </c>
      <c r="E143" t="s">
        <v>28</v>
      </c>
      <c r="F143" t="str">
        <f>"BFDTBS3"</f>
        <v>BFDTBS3</v>
      </c>
      <c r="G143" t="s">
        <v>169</v>
      </c>
      <c r="I143" t="s">
        <v>30</v>
      </c>
      <c r="J143">
        <v>0.007636254</v>
      </c>
      <c r="K143">
        <v>6400</v>
      </c>
      <c r="L143">
        <v>13296182.65</v>
      </c>
      <c r="M143">
        <v>97916.49</v>
      </c>
      <c r="N143">
        <v>2676</v>
      </c>
      <c r="O143">
        <v>17126400</v>
      </c>
      <c r="P143">
        <v>130781.54</v>
      </c>
      <c r="Q143">
        <v>0</v>
      </c>
      <c r="R143">
        <v>0</v>
      </c>
      <c r="S143">
        <v>0.072</v>
      </c>
      <c r="T143" t="s">
        <v>31</v>
      </c>
    </row>
    <row r="144" spans="1:20" ht="15">
      <c r="A144" t="s">
        <v>19</v>
      </c>
      <c r="B144" t="s">
        <v>20</v>
      </c>
      <c r="C144" t="str">
        <f t="shared" si="2"/>
        <v>31-Dec-21</v>
      </c>
      <c r="D144" t="s">
        <v>21</v>
      </c>
      <c r="E144" t="s">
        <v>28</v>
      </c>
      <c r="F144" t="str">
        <f>"B24HH65"</f>
        <v>B24HH65</v>
      </c>
      <c r="G144" t="s">
        <v>170</v>
      </c>
      <c r="I144" t="s">
        <v>30</v>
      </c>
      <c r="J144">
        <v>0.007636254</v>
      </c>
      <c r="K144">
        <v>91</v>
      </c>
      <c r="L144">
        <v>17071910.26</v>
      </c>
      <c r="M144">
        <v>133627.32</v>
      </c>
      <c r="N144">
        <v>222100</v>
      </c>
      <c r="O144">
        <v>20211100</v>
      </c>
      <c r="P144">
        <v>154337.09</v>
      </c>
      <c r="Q144">
        <v>0</v>
      </c>
      <c r="R144">
        <v>0</v>
      </c>
      <c r="S144">
        <v>0.085</v>
      </c>
      <c r="T144" t="s">
        <v>31</v>
      </c>
    </row>
    <row r="145" spans="1:20" ht="15">
      <c r="A145" t="s">
        <v>19</v>
      </c>
      <c r="B145" t="s">
        <v>20</v>
      </c>
      <c r="C145" t="str">
        <f t="shared" si="2"/>
        <v>31-Dec-21</v>
      </c>
      <c r="D145" t="s">
        <v>21</v>
      </c>
      <c r="E145" t="s">
        <v>28</v>
      </c>
      <c r="F145" t="str">
        <f>"6295974"</f>
        <v>6295974</v>
      </c>
      <c r="G145" t="s">
        <v>171</v>
      </c>
      <c r="I145" t="s">
        <v>30</v>
      </c>
      <c r="J145">
        <v>0.007636254</v>
      </c>
      <c r="K145">
        <v>900</v>
      </c>
      <c r="L145">
        <v>4073266.64</v>
      </c>
      <c r="M145">
        <v>31558.15</v>
      </c>
      <c r="N145">
        <v>3875</v>
      </c>
      <c r="O145">
        <v>3487500</v>
      </c>
      <c r="P145">
        <v>26631.43</v>
      </c>
      <c r="Q145">
        <v>19890</v>
      </c>
      <c r="R145">
        <v>151.89</v>
      </c>
      <c r="S145">
        <v>0.015</v>
      </c>
      <c r="T145" t="s">
        <v>31</v>
      </c>
    </row>
    <row r="146" spans="1:20" ht="15">
      <c r="A146" t="s">
        <v>19</v>
      </c>
      <c r="B146" t="s">
        <v>20</v>
      </c>
      <c r="C146" t="str">
        <f t="shared" si="2"/>
        <v>31-Dec-21</v>
      </c>
      <c r="D146" t="s">
        <v>21</v>
      </c>
      <c r="E146" t="s">
        <v>28</v>
      </c>
      <c r="F146" t="str">
        <f>"B10RB15"</f>
        <v>B10RB15</v>
      </c>
      <c r="G146" t="s">
        <v>172</v>
      </c>
      <c r="I146" t="s">
        <v>30</v>
      </c>
      <c r="J146">
        <v>0.007636254</v>
      </c>
      <c r="K146">
        <v>38600</v>
      </c>
      <c r="L146">
        <v>48855930.51</v>
      </c>
      <c r="M146">
        <v>411309.55</v>
      </c>
      <c r="N146">
        <v>1002</v>
      </c>
      <c r="O146">
        <v>38677200</v>
      </c>
      <c r="P146">
        <v>295348.91</v>
      </c>
      <c r="Q146">
        <v>656200</v>
      </c>
      <c r="R146">
        <v>5010.91</v>
      </c>
      <c r="S146">
        <v>0.166</v>
      </c>
      <c r="T146" t="s">
        <v>31</v>
      </c>
    </row>
    <row r="147" spans="1:20" ht="15">
      <c r="A147" t="s">
        <v>19</v>
      </c>
      <c r="B147" t="s">
        <v>20</v>
      </c>
      <c r="C147" t="str">
        <f t="shared" si="2"/>
        <v>31-Dec-21</v>
      </c>
      <c r="D147" t="s">
        <v>21</v>
      </c>
      <c r="E147" t="s">
        <v>28</v>
      </c>
      <c r="F147" t="str">
        <f>"B05H328"</f>
        <v>B05H328</v>
      </c>
      <c r="G147" t="s">
        <v>173</v>
      </c>
      <c r="I147" t="s">
        <v>30</v>
      </c>
      <c r="J147">
        <v>0.007636254</v>
      </c>
      <c r="K147">
        <v>2500</v>
      </c>
      <c r="L147">
        <v>10161142.74</v>
      </c>
      <c r="M147">
        <v>78724.74</v>
      </c>
      <c r="N147">
        <v>4750</v>
      </c>
      <c r="O147">
        <v>11875000</v>
      </c>
      <c r="P147">
        <v>90680.51</v>
      </c>
      <c r="Q147">
        <v>0</v>
      </c>
      <c r="R147">
        <v>0</v>
      </c>
      <c r="S147">
        <v>0.05</v>
      </c>
      <c r="T147" t="s">
        <v>31</v>
      </c>
    </row>
    <row r="148" spans="1:20" ht="15">
      <c r="A148" t="s">
        <v>19</v>
      </c>
      <c r="B148" t="s">
        <v>20</v>
      </c>
      <c r="C148" t="str">
        <f t="shared" si="2"/>
        <v>31-Dec-21</v>
      </c>
      <c r="D148" t="s">
        <v>21</v>
      </c>
      <c r="E148" t="s">
        <v>28</v>
      </c>
      <c r="F148" t="str">
        <f>"B2Q4CL4"</f>
        <v>B2Q4CL4</v>
      </c>
      <c r="G148" t="s">
        <v>174</v>
      </c>
      <c r="I148" t="s">
        <v>30</v>
      </c>
      <c r="J148">
        <v>0.007636254</v>
      </c>
      <c r="K148">
        <v>17480</v>
      </c>
      <c r="L148">
        <v>23477712.95</v>
      </c>
      <c r="M148">
        <v>177968.95</v>
      </c>
      <c r="N148">
        <v>850</v>
      </c>
      <c r="O148">
        <v>14858000</v>
      </c>
      <c r="P148">
        <v>113459.46</v>
      </c>
      <c r="Q148">
        <v>0</v>
      </c>
      <c r="R148">
        <v>0</v>
      </c>
      <c r="S148">
        <v>0.063</v>
      </c>
      <c r="T148" t="s">
        <v>31</v>
      </c>
    </row>
    <row r="149" spans="1:20" ht="15">
      <c r="A149" t="s">
        <v>19</v>
      </c>
      <c r="B149" t="s">
        <v>20</v>
      </c>
      <c r="C149" t="str">
        <f t="shared" si="2"/>
        <v>31-Dec-21</v>
      </c>
      <c r="D149" t="s">
        <v>21</v>
      </c>
      <c r="E149" t="s">
        <v>28</v>
      </c>
      <c r="F149" t="str">
        <f>"6467104"</f>
        <v>6467104</v>
      </c>
      <c r="G149" t="s">
        <v>175</v>
      </c>
      <c r="I149" t="s">
        <v>30</v>
      </c>
      <c r="J149">
        <v>0.007636254</v>
      </c>
      <c r="K149">
        <v>23600</v>
      </c>
      <c r="L149">
        <v>27131758.35</v>
      </c>
      <c r="M149">
        <v>207956.43</v>
      </c>
      <c r="N149">
        <v>1431</v>
      </c>
      <c r="O149">
        <v>33771600</v>
      </c>
      <c r="P149">
        <v>257888.51</v>
      </c>
      <c r="Q149">
        <v>0</v>
      </c>
      <c r="R149">
        <v>0</v>
      </c>
      <c r="S149">
        <v>0.142</v>
      </c>
      <c r="T149" t="s">
        <v>31</v>
      </c>
    </row>
    <row r="150" spans="1:20" ht="15">
      <c r="A150" t="s">
        <v>19</v>
      </c>
      <c r="B150" t="s">
        <v>20</v>
      </c>
      <c r="C150" t="str">
        <f t="shared" si="2"/>
        <v>31-Dec-21</v>
      </c>
      <c r="D150" t="s">
        <v>21</v>
      </c>
      <c r="E150" t="s">
        <v>28</v>
      </c>
      <c r="F150" t="str">
        <f>"6455789"</f>
        <v>6455789</v>
      </c>
      <c r="G150" t="s">
        <v>176</v>
      </c>
      <c r="I150" t="s">
        <v>30</v>
      </c>
      <c r="J150">
        <v>0.007636254</v>
      </c>
      <c r="K150">
        <v>2500</v>
      </c>
      <c r="L150">
        <v>7139901.23</v>
      </c>
      <c r="M150">
        <v>53716.71</v>
      </c>
      <c r="N150">
        <v>6040</v>
      </c>
      <c r="O150">
        <v>15100000</v>
      </c>
      <c r="P150">
        <v>115307.43</v>
      </c>
      <c r="Q150">
        <v>42500</v>
      </c>
      <c r="R150">
        <v>324.54</v>
      </c>
      <c r="S150">
        <v>0.064</v>
      </c>
      <c r="T150" t="s">
        <v>31</v>
      </c>
    </row>
    <row r="151" spans="1:20" ht="15">
      <c r="A151" t="s">
        <v>19</v>
      </c>
      <c r="B151" t="s">
        <v>20</v>
      </c>
      <c r="C151" t="str">
        <f t="shared" si="2"/>
        <v>31-Dec-21</v>
      </c>
      <c r="D151" t="s">
        <v>21</v>
      </c>
      <c r="E151" t="s">
        <v>28</v>
      </c>
      <c r="F151" t="str">
        <f>"6200194"</f>
        <v>6200194</v>
      </c>
      <c r="G151" t="s">
        <v>177</v>
      </c>
      <c r="I151" t="s">
        <v>30</v>
      </c>
      <c r="J151">
        <v>0.007636254</v>
      </c>
      <c r="K151">
        <v>4300</v>
      </c>
      <c r="L151">
        <v>5929365.57</v>
      </c>
      <c r="M151">
        <v>44275.23</v>
      </c>
      <c r="N151">
        <v>3700</v>
      </c>
      <c r="O151">
        <v>15910000</v>
      </c>
      <c r="P151">
        <v>121492.8</v>
      </c>
      <c r="Q151">
        <v>0</v>
      </c>
      <c r="R151">
        <v>0</v>
      </c>
      <c r="S151">
        <v>0.067</v>
      </c>
      <c r="T151" t="s">
        <v>31</v>
      </c>
    </row>
    <row r="152" spans="1:20" ht="15">
      <c r="A152" t="s">
        <v>19</v>
      </c>
      <c r="B152" t="s">
        <v>20</v>
      </c>
      <c r="C152" t="str">
        <f t="shared" si="2"/>
        <v>31-Dec-21</v>
      </c>
      <c r="D152" t="s">
        <v>21</v>
      </c>
      <c r="E152" t="s">
        <v>28</v>
      </c>
      <c r="F152" t="str">
        <f>"BYPKSR5"</f>
        <v>BYPKSR5</v>
      </c>
      <c r="G152" t="s">
        <v>178</v>
      </c>
      <c r="I152" t="s">
        <v>30</v>
      </c>
      <c r="J152">
        <v>0.007636254</v>
      </c>
      <c r="K152">
        <v>8500</v>
      </c>
      <c r="L152">
        <v>8738958.39</v>
      </c>
      <c r="M152">
        <v>74192.92</v>
      </c>
      <c r="N152">
        <v>658</v>
      </c>
      <c r="O152">
        <v>5593000</v>
      </c>
      <c r="P152">
        <v>42709.57</v>
      </c>
      <c r="Q152">
        <v>0</v>
      </c>
      <c r="R152">
        <v>0</v>
      </c>
      <c r="S152">
        <v>0.024</v>
      </c>
      <c r="T152" t="s">
        <v>31</v>
      </c>
    </row>
    <row r="153" spans="1:20" ht="15">
      <c r="A153" t="s">
        <v>19</v>
      </c>
      <c r="B153" t="s">
        <v>20</v>
      </c>
      <c r="C153" t="str">
        <f t="shared" si="2"/>
        <v>31-Dec-21</v>
      </c>
      <c r="D153" t="s">
        <v>21</v>
      </c>
      <c r="E153" t="s">
        <v>28</v>
      </c>
      <c r="F153" t="str">
        <f>"6468204"</f>
        <v>6468204</v>
      </c>
      <c r="G153" t="s">
        <v>179</v>
      </c>
      <c r="I153" t="s">
        <v>30</v>
      </c>
      <c r="J153">
        <v>0.007636254</v>
      </c>
      <c r="K153">
        <v>2500</v>
      </c>
      <c r="L153">
        <v>16691581.25</v>
      </c>
      <c r="M153">
        <v>128752.47</v>
      </c>
      <c r="N153">
        <v>5800</v>
      </c>
      <c r="O153">
        <v>14500000</v>
      </c>
      <c r="P153">
        <v>110725.68</v>
      </c>
      <c r="Q153">
        <v>0</v>
      </c>
      <c r="R153">
        <v>0</v>
      </c>
      <c r="S153">
        <v>0.061</v>
      </c>
      <c r="T153" t="s">
        <v>31</v>
      </c>
    </row>
    <row r="154" spans="1:20" ht="15">
      <c r="A154" t="s">
        <v>19</v>
      </c>
      <c r="B154" t="s">
        <v>20</v>
      </c>
      <c r="C154" t="str">
        <f t="shared" si="2"/>
        <v>31-Dec-21</v>
      </c>
      <c r="D154" t="s">
        <v>21</v>
      </c>
      <c r="E154" t="s">
        <v>28</v>
      </c>
      <c r="F154" t="str">
        <f>"6468282"</f>
        <v>6468282</v>
      </c>
      <c r="G154" t="s">
        <v>180</v>
      </c>
      <c r="I154" t="s">
        <v>30</v>
      </c>
      <c r="J154">
        <v>0.007636254</v>
      </c>
      <c r="K154">
        <v>10800</v>
      </c>
      <c r="L154">
        <v>9405682.28</v>
      </c>
      <c r="M154">
        <v>74786.65</v>
      </c>
      <c r="N154">
        <v>576</v>
      </c>
      <c r="O154">
        <v>6220800</v>
      </c>
      <c r="P154">
        <v>47503.61</v>
      </c>
      <c r="Q154">
        <v>0</v>
      </c>
      <c r="R154">
        <v>0</v>
      </c>
      <c r="S154">
        <v>0.026</v>
      </c>
      <c r="T154" t="s">
        <v>31</v>
      </c>
    </row>
    <row r="155" spans="1:20" ht="15">
      <c r="A155" t="s">
        <v>19</v>
      </c>
      <c r="B155" t="s">
        <v>20</v>
      </c>
      <c r="C155" t="str">
        <f t="shared" si="2"/>
        <v>31-Dec-21</v>
      </c>
      <c r="D155" t="s">
        <v>21</v>
      </c>
      <c r="E155" t="s">
        <v>28</v>
      </c>
      <c r="F155" t="str">
        <f>"6468152"</f>
        <v>6468152</v>
      </c>
      <c r="G155" t="s">
        <v>181</v>
      </c>
      <c r="I155" t="s">
        <v>30</v>
      </c>
      <c r="J155">
        <v>0.007636254</v>
      </c>
      <c r="K155">
        <v>1600</v>
      </c>
      <c r="L155">
        <v>5777297.46</v>
      </c>
      <c r="M155">
        <v>45467.67</v>
      </c>
      <c r="N155">
        <v>3225</v>
      </c>
      <c r="O155">
        <v>5160000</v>
      </c>
      <c r="P155">
        <v>39403.07</v>
      </c>
      <c r="Q155">
        <v>0</v>
      </c>
      <c r="R155">
        <v>0</v>
      </c>
      <c r="S155">
        <v>0.022</v>
      </c>
      <c r="T155" t="s">
        <v>31</v>
      </c>
    </row>
    <row r="156" spans="1:20" ht="15">
      <c r="A156" t="s">
        <v>19</v>
      </c>
      <c r="B156" t="s">
        <v>20</v>
      </c>
      <c r="C156" t="str">
        <f t="shared" si="2"/>
        <v>31-Dec-21</v>
      </c>
      <c r="D156" t="s">
        <v>21</v>
      </c>
      <c r="E156" t="s">
        <v>28</v>
      </c>
      <c r="F156" t="str">
        <f>"B23TC12"</f>
        <v>B23TC12</v>
      </c>
      <c r="G156" t="s">
        <v>182</v>
      </c>
      <c r="I156" t="s">
        <v>30</v>
      </c>
      <c r="J156">
        <v>0.007636254</v>
      </c>
      <c r="K156">
        <v>13000</v>
      </c>
      <c r="L156">
        <v>18367686.71</v>
      </c>
      <c r="M156">
        <v>142173.91</v>
      </c>
      <c r="N156">
        <v>1047</v>
      </c>
      <c r="O156">
        <v>13611000</v>
      </c>
      <c r="P156">
        <v>103937.05</v>
      </c>
      <c r="Q156">
        <v>0</v>
      </c>
      <c r="R156">
        <v>0</v>
      </c>
      <c r="S156">
        <v>0.057</v>
      </c>
      <c r="T156" t="s">
        <v>31</v>
      </c>
    </row>
    <row r="157" spans="1:20" ht="15">
      <c r="A157" t="s">
        <v>19</v>
      </c>
      <c r="B157" t="s">
        <v>20</v>
      </c>
      <c r="C157" t="str">
        <f t="shared" si="2"/>
        <v>31-Dec-21</v>
      </c>
      <c r="D157" t="s">
        <v>21</v>
      </c>
      <c r="E157" t="s">
        <v>28</v>
      </c>
      <c r="F157" t="str">
        <f>"6467591"</f>
        <v>6467591</v>
      </c>
      <c r="G157" t="s">
        <v>183</v>
      </c>
      <c r="I157" t="s">
        <v>30</v>
      </c>
      <c r="J157">
        <v>0.007636254</v>
      </c>
      <c r="K157">
        <v>2800</v>
      </c>
      <c r="L157">
        <v>7510704.73</v>
      </c>
      <c r="M157">
        <v>61857.29</v>
      </c>
      <c r="N157">
        <v>2224</v>
      </c>
      <c r="O157">
        <v>6227200</v>
      </c>
      <c r="P157">
        <v>47552.48</v>
      </c>
      <c r="Q157">
        <v>0</v>
      </c>
      <c r="R157">
        <v>0</v>
      </c>
      <c r="S157">
        <v>0.026</v>
      </c>
      <c r="T157" t="s">
        <v>31</v>
      </c>
    </row>
    <row r="158" spans="1:20" ht="15">
      <c r="A158" t="s">
        <v>19</v>
      </c>
      <c r="B158" t="s">
        <v>20</v>
      </c>
      <c r="C158" t="str">
        <f t="shared" si="2"/>
        <v>31-Dec-21</v>
      </c>
      <c r="D158" t="s">
        <v>21</v>
      </c>
      <c r="E158" t="s">
        <v>28</v>
      </c>
      <c r="F158" t="str">
        <f>"6543792"</f>
        <v>6543792</v>
      </c>
      <c r="G158" t="s">
        <v>184</v>
      </c>
      <c r="I158" t="s">
        <v>30</v>
      </c>
      <c r="J158">
        <v>0.007636254</v>
      </c>
      <c r="K158">
        <v>24700</v>
      </c>
      <c r="L158">
        <v>66675074.36</v>
      </c>
      <c r="M158">
        <v>491373.73</v>
      </c>
      <c r="N158">
        <v>1467</v>
      </c>
      <c r="O158">
        <v>36234900</v>
      </c>
      <c r="P158">
        <v>276698.89</v>
      </c>
      <c r="Q158">
        <v>0</v>
      </c>
      <c r="R158">
        <v>0</v>
      </c>
      <c r="S158">
        <v>0.153</v>
      </c>
      <c r="T158" t="s">
        <v>31</v>
      </c>
    </row>
    <row r="159" spans="1:20" ht="15">
      <c r="A159" t="s">
        <v>19</v>
      </c>
      <c r="B159" t="s">
        <v>20</v>
      </c>
      <c r="C159" t="str">
        <f t="shared" si="2"/>
        <v>31-Dec-21</v>
      </c>
      <c r="D159" t="s">
        <v>21</v>
      </c>
      <c r="E159" t="s">
        <v>28</v>
      </c>
      <c r="F159" t="str">
        <f>"6473468"</f>
        <v>6473468</v>
      </c>
      <c r="G159" t="s">
        <v>185</v>
      </c>
      <c r="I159" t="s">
        <v>30</v>
      </c>
      <c r="J159">
        <v>0.007636254</v>
      </c>
      <c r="K159">
        <v>11100</v>
      </c>
      <c r="L159">
        <v>23597627.27</v>
      </c>
      <c r="M159">
        <v>185260.68</v>
      </c>
      <c r="N159">
        <v>961</v>
      </c>
      <c r="O159">
        <v>10667100</v>
      </c>
      <c r="P159">
        <v>81456.68</v>
      </c>
      <c r="Q159">
        <v>0</v>
      </c>
      <c r="R159">
        <v>0</v>
      </c>
      <c r="S159">
        <v>0.045</v>
      </c>
      <c r="T159" t="s">
        <v>31</v>
      </c>
    </row>
    <row r="160" spans="1:20" ht="15">
      <c r="A160" t="s">
        <v>19</v>
      </c>
      <c r="B160" t="s">
        <v>20</v>
      </c>
      <c r="C160" t="str">
        <f t="shared" si="2"/>
        <v>31-Dec-21</v>
      </c>
      <c r="D160" t="s">
        <v>21</v>
      </c>
      <c r="E160" t="s">
        <v>28</v>
      </c>
      <c r="F160" t="str">
        <f>"6470986"</f>
        <v>6470986</v>
      </c>
      <c r="G160" t="s">
        <v>186</v>
      </c>
      <c r="I160" t="s">
        <v>30</v>
      </c>
      <c r="J160">
        <v>0.007636254</v>
      </c>
      <c r="K160">
        <v>8600</v>
      </c>
      <c r="L160">
        <v>16143375.59</v>
      </c>
      <c r="M160">
        <v>126436.7</v>
      </c>
      <c r="N160">
        <v>4375</v>
      </c>
      <c r="O160">
        <v>37625000</v>
      </c>
      <c r="P160">
        <v>287314.05</v>
      </c>
      <c r="Q160">
        <v>0</v>
      </c>
      <c r="R160">
        <v>0</v>
      </c>
      <c r="S160">
        <v>0.158</v>
      </c>
      <c r="T160" t="s">
        <v>31</v>
      </c>
    </row>
    <row r="161" spans="1:20" ht="15">
      <c r="A161" t="s">
        <v>19</v>
      </c>
      <c r="B161" t="s">
        <v>20</v>
      </c>
      <c r="C161" t="str">
        <f t="shared" si="2"/>
        <v>31-Dec-21</v>
      </c>
      <c r="D161" t="s">
        <v>21</v>
      </c>
      <c r="E161" t="s">
        <v>28</v>
      </c>
      <c r="F161" t="str">
        <f>"6497082"</f>
        <v>6497082</v>
      </c>
      <c r="G161" t="s">
        <v>187</v>
      </c>
      <c r="I161" t="s">
        <v>30</v>
      </c>
      <c r="J161">
        <v>0.007636254</v>
      </c>
      <c r="K161">
        <v>11500</v>
      </c>
      <c r="L161">
        <v>16237351.31</v>
      </c>
      <c r="M161">
        <v>123194.13</v>
      </c>
      <c r="N161">
        <v>1005</v>
      </c>
      <c r="O161">
        <v>11557500</v>
      </c>
      <c r="P161">
        <v>88256</v>
      </c>
      <c r="Q161">
        <v>0</v>
      </c>
      <c r="R161">
        <v>0</v>
      </c>
      <c r="S161">
        <v>0.049</v>
      </c>
      <c r="T161" t="s">
        <v>31</v>
      </c>
    </row>
    <row r="162" spans="1:20" ht="15">
      <c r="A162" t="s">
        <v>19</v>
      </c>
      <c r="B162" t="s">
        <v>20</v>
      </c>
      <c r="C162" t="str">
        <f t="shared" si="2"/>
        <v>31-Dec-21</v>
      </c>
      <c r="D162" t="s">
        <v>21</v>
      </c>
      <c r="E162" t="s">
        <v>28</v>
      </c>
      <c r="F162" t="str">
        <f>"B8BRV46"</f>
        <v>B8BRV46</v>
      </c>
      <c r="G162" t="s">
        <v>188</v>
      </c>
      <c r="I162" t="s">
        <v>30</v>
      </c>
      <c r="J162">
        <v>0.007636254</v>
      </c>
      <c r="K162">
        <v>5900</v>
      </c>
      <c r="L162">
        <v>16999042.99</v>
      </c>
      <c r="M162">
        <v>137570.65</v>
      </c>
      <c r="N162">
        <v>2196</v>
      </c>
      <c r="O162">
        <v>12956400</v>
      </c>
      <c r="P162">
        <v>98938.36</v>
      </c>
      <c r="Q162">
        <v>0</v>
      </c>
      <c r="R162">
        <v>0</v>
      </c>
      <c r="S162">
        <v>0.055</v>
      </c>
      <c r="T162" t="s">
        <v>31</v>
      </c>
    </row>
    <row r="163" spans="1:20" ht="15">
      <c r="A163" t="s">
        <v>19</v>
      </c>
      <c r="B163" t="s">
        <v>20</v>
      </c>
      <c r="C163" t="str">
        <f t="shared" si="2"/>
        <v>31-Dec-21</v>
      </c>
      <c r="D163" t="s">
        <v>21</v>
      </c>
      <c r="E163" t="s">
        <v>28</v>
      </c>
      <c r="F163" t="str">
        <f>"6472175"</f>
        <v>6472175</v>
      </c>
      <c r="G163" t="s">
        <v>189</v>
      </c>
      <c r="I163" t="s">
        <v>30</v>
      </c>
      <c r="J163">
        <v>0.007636254</v>
      </c>
      <c r="K163">
        <v>2400</v>
      </c>
      <c r="L163">
        <v>10507549.32</v>
      </c>
      <c r="M163">
        <v>80326.79</v>
      </c>
      <c r="N163">
        <v>4800</v>
      </c>
      <c r="O163">
        <v>11520000</v>
      </c>
      <c r="P163">
        <v>87969.64</v>
      </c>
      <c r="Q163">
        <v>0</v>
      </c>
      <c r="R163">
        <v>0</v>
      </c>
      <c r="S163">
        <v>0.048</v>
      </c>
      <c r="T163" t="s">
        <v>31</v>
      </c>
    </row>
    <row r="164" spans="1:20" ht="15">
      <c r="A164" t="s">
        <v>19</v>
      </c>
      <c r="B164" t="s">
        <v>20</v>
      </c>
      <c r="C164" t="str">
        <f t="shared" si="2"/>
        <v>31-Dec-21</v>
      </c>
      <c r="D164" t="s">
        <v>21</v>
      </c>
      <c r="E164" t="s">
        <v>28</v>
      </c>
      <c r="F164" t="str">
        <f>"6470351"</f>
        <v>6470351</v>
      </c>
      <c r="G164" t="s">
        <v>190</v>
      </c>
      <c r="I164" t="s">
        <v>30</v>
      </c>
      <c r="J164">
        <v>0.007636254</v>
      </c>
      <c r="K164">
        <v>2000</v>
      </c>
      <c r="L164">
        <v>3500246.26</v>
      </c>
      <c r="M164">
        <v>27323.66</v>
      </c>
      <c r="N164">
        <v>1991</v>
      </c>
      <c r="O164">
        <v>3982000</v>
      </c>
      <c r="P164">
        <v>30407.56</v>
      </c>
      <c r="Q164">
        <v>0</v>
      </c>
      <c r="R164">
        <v>0</v>
      </c>
      <c r="S164">
        <v>0.017</v>
      </c>
      <c r="T164" t="s">
        <v>31</v>
      </c>
    </row>
    <row r="165" spans="1:20" ht="15">
      <c r="A165" t="s">
        <v>19</v>
      </c>
      <c r="B165" t="s">
        <v>20</v>
      </c>
      <c r="C165" t="str">
        <f t="shared" si="2"/>
        <v>31-Dec-21</v>
      </c>
      <c r="D165" t="s">
        <v>21</v>
      </c>
      <c r="E165" t="s">
        <v>28</v>
      </c>
      <c r="F165" t="str">
        <f>"6743882"</f>
        <v>6743882</v>
      </c>
      <c r="G165" t="s">
        <v>191</v>
      </c>
      <c r="I165" t="s">
        <v>30</v>
      </c>
      <c r="J165">
        <v>0.007636254</v>
      </c>
      <c r="K165">
        <v>24500</v>
      </c>
      <c r="L165">
        <v>33128732.84</v>
      </c>
      <c r="M165">
        <v>245662.62</v>
      </c>
      <c r="N165">
        <v>2518</v>
      </c>
      <c r="O165">
        <v>61691000</v>
      </c>
      <c r="P165">
        <v>471088.13</v>
      </c>
      <c r="Q165">
        <v>0</v>
      </c>
      <c r="R165">
        <v>0</v>
      </c>
      <c r="S165">
        <v>0.26</v>
      </c>
      <c r="T165" t="s">
        <v>31</v>
      </c>
    </row>
    <row r="166" spans="1:20" ht="15">
      <c r="A166" t="s">
        <v>19</v>
      </c>
      <c r="B166" t="s">
        <v>20</v>
      </c>
      <c r="C166" t="str">
        <f t="shared" si="2"/>
        <v>31-Dec-21</v>
      </c>
      <c r="D166" t="s">
        <v>21</v>
      </c>
      <c r="E166" t="s">
        <v>28</v>
      </c>
      <c r="F166" t="str">
        <f>"B1530B1"</f>
        <v>B1530B1</v>
      </c>
      <c r="G166" t="s">
        <v>192</v>
      </c>
      <c r="I166" t="s">
        <v>30</v>
      </c>
      <c r="J166">
        <v>0.007636254</v>
      </c>
      <c r="K166">
        <v>222</v>
      </c>
      <c r="L166">
        <v>14189069.82</v>
      </c>
      <c r="M166">
        <v>109931.61</v>
      </c>
      <c r="N166">
        <v>56200</v>
      </c>
      <c r="O166">
        <v>12476400</v>
      </c>
      <c r="P166">
        <v>95272.96</v>
      </c>
      <c r="Q166">
        <v>22644</v>
      </c>
      <c r="R166">
        <v>172.92</v>
      </c>
      <c r="S166">
        <v>0.053</v>
      </c>
      <c r="T166" t="s">
        <v>31</v>
      </c>
    </row>
    <row r="167" spans="1:20" ht="15">
      <c r="A167" t="s">
        <v>19</v>
      </c>
      <c r="B167" t="s">
        <v>20</v>
      </c>
      <c r="C167" t="str">
        <f t="shared" si="2"/>
        <v>31-Dec-21</v>
      </c>
      <c r="D167" t="s">
        <v>21</v>
      </c>
      <c r="E167" t="s">
        <v>28</v>
      </c>
      <c r="F167" t="str">
        <f>"B07NL19"</f>
        <v>B07NL19</v>
      </c>
      <c r="G167" t="s">
        <v>193</v>
      </c>
      <c r="I167" t="s">
        <v>30</v>
      </c>
      <c r="J167">
        <v>0.007636254</v>
      </c>
      <c r="K167">
        <v>40</v>
      </c>
      <c r="L167">
        <v>12386581.29</v>
      </c>
      <c r="M167">
        <v>96667.65</v>
      </c>
      <c r="N167">
        <v>356500</v>
      </c>
      <c r="O167">
        <v>14260000</v>
      </c>
      <c r="P167">
        <v>108892.98</v>
      </c>
      <c r="Q167">
        <v>0</v>
      </c>
      <c r="R167">
        <v>0</v>
      </c>
      <c r="S167">
        <v>0.06</v>
      </c>
      <c r="T167" t="s">
        <v>31</v>
      </c>
    </row>
    <row r="168" spans="1:20" ht="15">
      <c r="A168" t="s">
        <v>19</v>
      </c>
      <c r="B168" t="s">
        <v>20</v>
      </c>
      <c r="C168" t="str">
        <f t="shared" si="2"/>
        <v>31-Dec-21</v>
      </c>
      <c r="D168" t="s">
        <v>21</v>
      </c>
      <c r="E168" t="s">
        <v>28</v>
      </c>
      <c r="F168" t="str">
        <f>"6513342"</f>
        <v>6513342</v>
      </c>
      <c r="G168" t="s">
        <v>194</v>
      </c>
      <c r="I168" t="s">
        <v>30</v>
      </c>
      <c r="J168">
        <v>0.007636254</v>
      </c>
      <c r="K168">
        <v>326</v>
      </c>
      <c r="L168">
        <v>32170186.49</v>
      </c>
      <c r="M168">
        <v>250489.14</v>
      </c>
      <c r="N168">
        <v>99100</v>
      </c>
      <c r="O168">
        <v>32306600</v>
      </c>
      <c r="P168">
        <v>246701.39</v>
      </c>
      <c r="Q168">
        <v>0</v>
      </c>
      <c r="R168">
        <v>0</v>
      </c>
      <c r="S168">
        <v>0.136</v>
      </c>
      <c r="T168" t="s">
        <v>31</v>
      </c>
    </row>
    <row r="169" spans="1:20" ht="15">
      <c r="A169" t="s">
        <v>19</v>
      </c>
      <c r="B169" t="s">
        <v>20</v>
      </c>
      <c r="C169" t="str">
        <f t="shared" si="2"/>
        <v>31-Dec-21</v>
      </c>
      <c r="D169" t="s">
        <v>21</v>
      </c>
      <c r="E169" t="s">
        <v>28</v>
      </c>
      <c r="F169" t="str">
        <f>"BYT8165"</f>
        <v>BYT8165</v>
      </c>
      <c r="G169" t="s">
        <v>195</v>
      </c>
      <c r="I169" t="s">
        <v>30</v>
      </c>
      <c r="J169">
        <v>0.007636254</v>
      </c>
      <c r="K169">
        <v>20000</v>
      </c>
      <c r="L169">
        <v>31070218.68</v>
      </c>
      <c r="M169">
        <v>242006.59</v>
      </c>
      <c r="N169">
        <v>1055</v>
      </c>
      <c r="O169">
        <v>21100000</v>
      </c>
      <c r="P169">
        <v>161124.95</v>
      </c>
      <c r="Q169">
        <v>0</v>
      </c>
      <c r="R169">
        <v>0</v>
      </c>
      <c r="S169">
        <v>0.089</v>
      </c>
      <c r="T169" t="s">
        <v>31</v>
      </c>
    </row>
    <row r="170" spans="1:20" ht="15">
      <c r="A170" t="s">
        <v>19</v>
      </c>
      <c r="B170" t="s">
        <v>20</v>
      </c>
      <c r="C170" t="str">
        <f t="shared" si="2"/>
        <v>31-Dec-21</v>
      </c>
      <c r="D170" t="s">
        <v>21</v>
      </c>
      <c r="E170" t="s">
        <v>28</v>
      </c>
      <c r="F170" t="str">
        <f>"BYT8143"</f>
        <v>BYT8143</v>
      </c>
      <c r="G170" t="s">
        <v>196</v>
      </c>
      <c r="I170" t="s">
        <v>30</v>
      </c>
      <c r="J170">
        <v>0.007636254</v>
      </c>
      <c r="K170">
        <v>104900</v>
      </c>
      <c r="L170">
        <v>122956881.47</v>
      </c>
      <c r="M170">
        <v>937200.87</v>
      </c>
      <c r="N170">
        <v>896.8</v>
      </c>
      <c r="O170">
        <v>94074320</v>
      </c>
      <c r="P170">
        <v>718375.38</v>
      </c>
      <c r="Q170">
        <v>0</v>
      </c>
      <c r="R170">
        <v>0</v>
      </c>
      <c r="S170">
        <v>0.396</v>
      </c>
      <c r="T170" t="s">
        <v>31</v>
      </c>
    </row>
    <row r="171" spans="1:20" ht="15">
      <c r="A171" t="s">
        <v>19</v>
      </c>
      <c r="B171" t="s">
        <v>20</v>
      </c>
      <c r="C171" t="str">
        <f t="shared" si="2"/>
        <v>31-Dec-21</v>
      </c>
      <c r="D171" t="s">
        <v>21</v>
      </c>
      <c r="E171" t="s">
        <v>28</v>
      </c>
      <c r="F171" t="str">
        <f>"BYT8154"</f>
        <v>BYT8154</v>
      </c>
      <c r="G171" t="s">
        <v>197</v>
      </c>
      <c r="I171" t="s">
        <v>30</v>
      </c>
      <c r="J171">
        <v>0.007636254</v>
      </c>
      <c r="K171">
        <v>8700</v>
      </c>
      <c r="L171">
        <v>23644136.68</v>
      </c>
      <c r="M171">
        <v>184553.59</v>
      </c>
      <c r="N171">
        <v>1850</v>
      </c>
      <c r="O171">
        <v>16095000</v>
      </c>
      <c r="P171">
        <v>122905.5</v>
      </c>
      <c r="Q171">
        <v>0</v>
      </c>
      <c r="R171">
        <v>0</v>
      </c>
      <c r="S171">
        <v>0.068</v>
      </c>
      <c r="T171" t="s">
        <v>31</v>
      </c>
    </row>
    <row r="172" spans="1:20" ht="15">
      <c r="A172" t="s">
        <v>19</v>
      </c>
      <c r="B172" t="s">
        <v>20</v>
      </c>
      <c r="C172" t="str">
        <f t="shared" si="2"/>
        <v>31-Dec-21</v>
      </c>
      <c r="D172" t="s">
        <v>21</v>
      </c>
      <c r="E172" t="s">
        <v>28</v>
      </c>
      <c r="F172" t="str">
        <f>"6528175"</f>
        <v>6528175</v>
      </c>
      <c r="G172" t="s">
        <v>198</v>
      </c>
      <c r="I172" t="s">
        <v>30</v>
      </c>
      <c r="J172">
        <v>0.007636254</v>
      </c>
      <c r="K172">
        <v>41</v>
      </c>
      <c r="L172">
        <v>15069991.44</v>
      </c>
      <c r="M172">
        <v>118034.52</v>
      </c>
      <c r="N172">
        <v>399000</v>
      </c>
      <c r="O172">
        <v>16359000</v>
      </c>
      <c r="P172">
        <v>124921.47</v>
      </c>
      <c r="Q172">
        <v>263117.5</v>
      </c>
      <c r="R172">
        <v>2009.23</v>
      </c>
      <c r="S172">
        <v>0.07</v>
      </c>
      <c r="T172" t="s">
        <v>31</v>
      </c>
    </row>
    <row r="173" spans="1:20" ht="15">
      <c r="A173" t="s">
        <v>19</v>
      </c>
      <c r="B173" t="s">
        <v>20</v>
      </c>
      <c r="C173" t="str">
        <f t="shared" si="2"/>
        <v>31-Dec-21</v>
      </c>
      <c r="D173" t="s">
        <v>21</v>
      </c>
      <c r="E173" t="s">
        <v>28</v>
      </c>
      <c r="F173" t="str">
        <f>"6397580"</f>
        <v>6397580</v>
      </c>
      <c r="G173" t="s">
        <v>199</v>
      </c>
      <c r="I173" t="s">
        <v>30</v>
      </c>
      <c r="J173">
        <v>0.007636254</v>
      </c>
      <c r="K173">
        <v>61</v>
      </c>
      <c r="L173">
        <v>37822991.42</v>
      </c>
      <c r="M173">
        <v>295237.48</v>
      </c>
      <c r="N173">
        <v>653000</v>
      </c>
      <c r="O173">
        <v>39833000</v>
      </c>
      <c r="P173">
        <v>304174.89</v>
      </c>
      <c r="Q173">
        <v>0</v>
      </c>
      <c r="R173">
        <v>0</v>
      </c>
      <c r="S173">
        <v>0.168</v>
      </c>
      <c r="T173" t="s">
        <v>31</v>
      </c>
    </row>
    <row r="174" spans="1:20" ht="15">
      <c r="A174" t="s">
        <v>19</v>
      </c>
      <c r="B174" t="s">
        <v>20</v>
      </c>
      <c r="C174" t="str">
        <f t="shared" si="2"/>
        <v>31-Dec-21</v>
      </c>
      <c r="D174" t="s">
        <v>21</v>
      </c>
      <c r="E174" t="s">
        <v>28</v>
      </c>
      <c r="F174" t="str">
        <f>"6474535"</f>
        <v>6474535</v>
      </c>
      <c r="G174" t="s">
        <v>200</v>
      </c>
      <c r="I174" t="s">
        <v>30</v>
      </c>
      <c r="J174">
        <v>0.007636254</v>
      </c>
      <c r="K174">
        <v>55000</v>
      </c>
      <c r="L174">
        <v>170292001.6</v>
      </c>
      <c r="M174">
        <v>1348642.47</v>
      </c>
      <c r="N174">
        <v>2322.5</v>
      </c>
      <c r="O174">
        <v>127737500</v>
      </c>
      <c r="P174">
        <v>975435.96</v>
      </c>
      <c r="Q174">
        <v>3506250</v>
      </c>
      <c r="R174">
        <v>26774.62</v>
      </c>
      <c r="S174">
        <v>0.552</v>
      </c>
      <c r="T174" t="s">
        <v>31</v>
      </c>
    </row>
    <row r="175" spans="1:20" ht="15">
      <c r="A175" t="s">
        <v>19</v>
      </c>
      <c r="B175" t="s">
        <v>20</v>
      </c>
      <c r="C175" t="str">
        <f t="shared" si="2"/>
        <v>31-Dec-21</v>
      </c>
      <c r="D175" t="s">
        <v>21</v>
      </c>
      <c r="E175" t="s">
        <v>28</v>
      </c>
      <c r="F175" t="str">
        <f>"6470544"</f>
        <v>6470544</v>
      </c>
      <c r="G175" t="s">
        <v>201</v>
      </c>
      <c r="I175" t="s">
        <v>30</v>
      </c>
      <c r="J175">
        <v>0.007636254</v>
      </c>
      <c r="K175">
        <v>1900</v>
      </c>
      <c r="L175">
        <v>17335537.37</v>
      </c>
      <c r="M175">
        <v>134309.27</v>
      </c>
      <c r="N175">
        <v>9190</v>
      </c>
      <c r="O175">
        <v>17461000</v>
      </c>
      <c r="P175">
        <v>133336.63</v>
      </c>
      <c r="Q175">
        <v>0</v>
      </c>
      <c r="R175">
        <v>0</v>
      </c>
      <c r="S175">
        <v>0.074</v>
      </c>
      <c r="T175" t="s">
        <v>31</v>
      </c>
    </row>
    <row r="176" spans="1:20" ht="15">
      <c r="A176" t="s">
        <v>19</v>
      </c>
      <c r="B176" t="s">
        <v>20</v>
      </c>
      <c r="C176" t="str">
        <f t="shared" si="2"/>
        <v>31-Dec-21</v>
      </c>
      <c r="D176" t="s">
        <v>21</v>
      </c>
      <c r="E176" t="s">
        <v>28</v>
      </c>
      <c r="F176" t="str">
        <f>"6079792"</f>
        <v>6079792</v>
      </c>
      <c r="G176" t="s">
        <v>202</v>
      </c>
      <c r="I176" t="s">
        <v>30</v>
      </c>
      <c r="J176">
        <v>0.007636254</v>
      </c>
      <c r="K176">
        <v>1300</v>
      </c>
      <c r="L176">
        <v>5037718.33</v>
      </c>
      <c r="M176">
        <v>42403.94</v>
      </c>
      <c r="N176">
        <v>5380</v>
      </c>
      <c r="O176">
        <v>6994000</v>
      </c>
      <c r="P176">
        <v>53407.96</v>
      </c>
      <c r="Q176">
        <v>0</v>
      </c>
      <c r="R176">
        <v>0</v>
      </c>
      <c r="S176">
        <v>0.029</v>
      </c>
      <c r="T176" t="s">
        <v>31</v>
      </c>
    </row>
    <row r="177" spans="1:20" ht="15">
      <c r="A177" t="s">
        <v>19</v>
      </c>
      <c r="B177" t="s">
        <v>20</v>
      </c>
      <c r="C177" t="str">
        <f t="shared" si="2"/>
        <v>31-Dec-21</v>
      </c>
      <c r="D177" t="s">
        <v>21</v>
      </c>
      <c r="E177" t="s">
        <v>28</v>
      </c>
      <c r="F177" t="str">
        <f>"6484277"</f>
        <v>6484277</v>
      </c>
      <c r="G177" t="s">
        <v>203</v>
      </c>
      <c r="I177" t="s">
        <v>30</v>
      </c>
      <c r="J177">
        <v>0.007636254</v>
      </c>
      <c r="K177">
        <v>6600</v>
      </c>
      <c r="L177">
        <v>5896260.99</v>
      </c>
      <c r="M177">
        <v>53080.89</v>
      </c>
      <c r="N177">
        <v>1118</v>
      </c>
      <c r="O177">
        <v>7378800</v>
      </c>
      <c r="P177">
        <v>56346.39</v>
      </c>
      <c r="Q177">
        <v>0</v>
      </c>
      <c r="R177">
        <v>0</v>
      </c>
      <c r="S177">
        <v>0.031</v>
      </c>
      <c r="T177" t="s">
        <v>31</v>
      </c>
    </row>
    <row r="178" spans="1:20" ht="15">
      <c r="A178" t="s">
        <v>19</v>
      </c>
      <c r="B178" t="s">
        <v>20</v>
      </c>
      <c r="C178" t="str">
        <f t="shared" si="2"/>
        <v>31-Dec-21</v>
      </c>
      <c r="D178" t="s">
        <v>21</v>
      </c>
      <c r="E178" t="s">
        <v>28</v>
      </c>
      <c r="F178" t="str">
        <f>"6248990"</f>
        <v>6248990</v>
      </c>
      <c r="G178" t="s">
        <v>204</v>
      </c>
      <c r="I178" t="s">
        <v>30</v>
      </c>
      <c r="J178">
        <v>0.007636254</v>
      </c>
      <c r="K178">
        <v>76500</v>
      </c>
      <c r="L178">
        <v>143280553.52</v>
      </c>
      <c r="M178">
        <v>1108399.7</v>
      </c>
      <c r="N178">
        <v>3362</v>
      </c>
      <c r="O178">
        <v>257193000</v>
      </c>
      <c r="P178">
        <v>1963991</v>
      </c>
      <c r="Q178">
        <v>0</v>
      </c>
      <c r="R178">
        <v>0</v>
      </c>
      <c r="S178">
        <v>1.083</v>
      </c>
      <c r="T178" t="s">
        <v>31</v>
      </c>
    </row>
    <row r="179" spans="1:20" ht="15">
      <c r="A179" t="s">
        <v>19</v>
      </c>
      <c r="B179" t="s">
        <v>20</v>
      </c>
      <c r="C179" t="str">
        <f t="shared" si="2"/>
        <v>31-Dec-21</v>
      </c>
      <c r="D179" t="s">
        <v>21</v>
      </c>
      <c r="E179" t="s">
        <v>28</v>
      </c>
      <c r="F179" t="str">
        <f>"BQQ1JP6"</f>
        <v>BQQ1JP6</v>
      </c>
      <c r="G179" t="s">
        <v>205</v>
      </c>
      <c r="I179" t="s">
        <v>30</v>
      </c>
      <c r="J179">
        <v>0.007636254</v>
      </c>
      <c r="K179">
        <v>4000</v>
      </c>
      <c r="L179">
        <v>11244497.6</v>
      </c>
      <c r="M179">
        <v>87118.17</v>
      </c>
      <c r="N179">
        <v>2997</v>
      </c>
      <c r="O179">
        <v>11988000</v>
      </c>
      <c r="P179">
        <v>91543.41</v>
      </c>
      <c r="Q179">
        <v>0</v>
      </c>
      <c r="R179">
        <v>0</v>
      </c>
      <c r="S179">
        <v>0.05</v>
      </c>
      <c r="T179" t="s">
        <v>31</v>
      </c>
    </row>
    <row r="180" spans="1:20" ht="15">
      <c r="A180" t="s">
        <v>19</v>
      </c>
      <c r="B180" t="s">
        <v>20</v>
      </c>
      <c r="C180" t="str">
        <f t="shared" si="2"/>
        <v>31-Dec-21</v>
      </c>
      <c r="D180" t="s">
        <v>21</v>
      </c>
      <c r="E180" t="s">
        <v>28</v>
      </c>
      <c r="F180" t="str">
        <f>"6480770"</f>
        <v>6480770</v>
      </c>
      <c r="G180" t="s">
        <v>206</v>
      </c>
      <c r="I180" t="s">
        <v>30</v>
      </c>
      <c r="J180">
        <v>0.007636254</v>
      </c>
      <c r="K180">
        <v>4114</v>
      </c>
      <c r="L180">
        <v>8082669.11</v>
      </c>
      <c r="M180">
        <v>65714.94</v>
      </c>
      <c r="N180">
        <v>2992</v>
      </c>
      <c r="O180">
        <v>12309088</v>
      </c>
      <c r="P180">
        <v>93995.32</v>
      </c>
      <c r="Q180">
        <v>129385.3</v>
      </c>
      <c r="R180">
        <v>988.02</v>
      </c>
      <c r="S180">
        <v>0.052</v>
      </c>
      <c r="T180" t="s">
        <v>31</v>
      </c>
    </row>
    <row r="181" spans="1:20" ht="15">
      <c r="A181" t="s">
        <v>19</v>
      </c>
      <c r="B181" t="s">
        <v>20</v>
      </c>
      <c r="C181" t="str">
        <f t="shared" si="2"/>
        <v>31-Dec-21</v>
      </c>
      <c r="D181" t="s">
        <v>21</v>
      </c>
      <c r="E181" t="s">
        <v>28</v>
      </c>
      <c r="F181" t="str">
        <f>"6481320"</f>
        <v>6481320</v>
      </c>
      <c r="G181" t="s">
        <v>207</v>
      </c>
      <c r="I181" t="s">
        <v>30</v>
      </c>
      <c r="J181">
        <v>0.007636254</v>
      </c>
      <c r="K181">
        <v>21300</v>
      </c>
      <c r="L181">
        <v>23777753.99</v>
      </c>
      <c r="M181">
        <v>183547.83</v>
      </c>
      <c r="N181">
        <v>1321</v>
      </c>
      <c r="O181">
        <v>28137300</v>
      </c>
      <c r="P181">
        <v>214863.56</v>
      </c>
      <c r="Q181">
        <v>0</v>
      </c>
      <c r="R181">
        <v>0</v>
      </c>
      <c r="S181">
        <v>0.118</v>
      </c>
      <c r="T181" t="s">
        <v>31</v>
      </c>
    </row>
    <row r="182" spans="1:20" ht="15">
      <c r="A182" t="s">
        <v>19</v>
      </c>
      <c r="B182" t="s">
        <v>20</v>
      </c>
      <c r="C182" t="str">
        <f t="shared" si="2"/>
        <v>31-Dec-21</v>
      </c>
      <c r="D182" t="s">
        <v>21</v>
      </c>
      <c r="E182" t="s">
        <v>28</v>
      </c>
      <c r="F182" t="str">
        <f>"6689533"</f>
        <v>6689533</v>
      </c>
      <c r="G182" t="s">
        <v>208</v>
      </c>
      <c r="I182" t="s">
        <v>30</v>
      </c>
      <c r="J182">
        <v>0.007636254</v>
      </c>
      <c r="K182">
        <v>6300</v>
      </c>
      <c r="L182">
        <v>8066778.9</v>
      </c>
      <c r="M182">
        <v>66841.73</v>
      </c>
      <c r="N182">
        <v>3070</v>
      </c>
      <c r="O182">
        <v>19341000</v>
      </c>
      <c r="P182">
        <v>147692.78</v>
      </c>
      <c r="Q182">
        <v>0</v>
      </c>
      <c r="R182">
        <v>0</v>
      </c>
      <c r="S182">
        <v>0.081</v>
      </c>
      <c r="T182" t="s">
        <v>31</v>
      </c>
    </row>
    <row r="183" spans="1:20" ht="15">
      <c r="A183" t="s">
        <v>19</v>
      </c>
      <c r="B183" t="s">
        <v>20</v>
      </c>
      <c r="C183" t="str">
        <f t="shared" si="2"/>
        <v>31-Dec-21</v>
      </c>
      <c r="D183" t="s">
        <v>21</v>
      </c>
      <c r="E183" t="s">
        <v>28</v>
      </c>
      <c r="F183" t="str">
        <f>"6481643"</f>
        <v>6481643</v>
      </c>
      <c r="G183" t="s">
        <v>209</v>
      </c>
      <c r="I183" t="s">
        <v>30</v>
      </c>
      <c r="J183">
        <v>0.007636254</v>
      </c>
      <c r="K183">
        <v>1400</v>
      </c>
      <c r="L183">
        <v>5666973.15</v>
      </c>
      <c r="M183">
        <v>45726.61</v>
      </c>
      <c r="N183">
        <v>4210</v>
      </c>
      <c r="O183">
        <v>5894000</v>
      </c>
      <c r="P183">
        <v>45008.08</v>
      </c>
      <c r="Q183">
        <v>0</v>
      </c>
      <c r="R183">
        <v>0</v>
      </c>
      <c r="S183">
        <v>0.025</v>
      </c>
      <c r="T183" t="s">
        <v>31</v>
      </c>
    </row>
    <row r="184" spans="1:20" ht="15">
      <c r="A184" t="s">
        <v>19</v>
      </c>
      <c r="B184" t="s">
        <v>20</v>
      </c>
      <c r="C184" t="str">
        <f t="shared" si="2"/>
        <v>31-Dec-21</v>
      </c>
      <c r="D184" t="s">
        <v>21</v>
      </c>
      <c r="E184" t="s">
        <v>28</v>
      </c>
      <c r="F184" t="str">
        <f>"6482668"</f>
        <v>6482668</v>
      </c>
      <c r="G184" t="s">
        <v>210</v>
      </c>
      <c r="I184" t="s">
        <v>30</v>
      </c>
      <c r="J184">
        <v>0.007636254</v>
      </c>
      <c r="K184">
        <v>4500</v>
      </c>
      <c r="L184">
        <v>8747512.91</v>
      </c>
      <c r="M184">
        <v>68365.21</v>
      </c>
      <c r="N184">
        <v>2178</v>
      </c>
      <c r="O184">
        <v>9801000</v>
      </c>
      <c r="P184">
        <v>74842.92</v>
      </c>
      <c r="Q184">
        <v>0</v>
      </c>
      <c r="R184">
        <v>0</v>
      </c>
      <c r="S184">
        <v>0.041</v>
      </c>
      <c r="T184" t="s">
        <v>31</v>
      </c>
    </row>
    <row r="185" spans="1:20" ht="15">
      <c r="A185" t="s">
        <v>19</v>
      </c>
      <c r="B185" t="s">
        <v>20</v>
      </c>
      <c r="C185" t="str">
        <f t="shared" si="2"/>
        <v>31-Dec-21</v>
      </c>
      <c r="D185" t="s">
        <v>21</v>
      </c>
      <c r="E185" t="s">
        <v>28</v>
      </c>
      <c r="F185" t="str">
        <f>"6483586"</f>
        <v>6483586</v>
      </c>
      <c r="G185" t="s">
        <v>211</v>
      </c>
      <c r="I185" t="s">
        <v>30</v>
      </c>
      <c r="J185">
        <v>0.007636254</v>
      </c>
      <c r="K185">
        <v>6500</v>
      </c>
      <c r="L185">
        <v>4399665.6</v>
      </c>
      <c r="M185">
        <v>34917.65</v>
      </c>
      <c r="N185">
        <v>857</v>
      </c>
      <c r="O185">
        <v>5570500</v>
      </c>
      <c r="P185">
        <v>42537.75</v>
      </c>
      <c r="Q185">
        <v>0</v>
      </c>
      <c r="R185">
        <v>0</v>
      </c>
      <c r="S185">
        <v>0.023</v>
      </c>
      <c r="T185" t="s">
        <v>31</v>
      </c>
    </row>
    <row r="186" spans="1:20" ht="15">
      <c r="A186" t="s">
        <v>19</v>
      </c>
      <c r="B186" t="s">
        <v>20</v>
      </c>
      <c r="C186" t="str">
        <f t="shared" si="2"/>
        <v>31-Dec-21</v>
      </c>
      <c r="D186" t="s">
        <v>21</v>
      </c>
      <c r="E186" t="s">
        <v>28</v>
      </c>
      <c r="F186" t="str">
        <f>"6483360"</f>
        <v>6483360</v>
      </c>
      <c r="G186" t="s">
        <v>212</v>
      </c>
      <c r="I186" t="s">
        <v>30</v>
      </c>
      <c r="J186">
        <v>0.007636254</v>
      </c>
      <c r="K186">
        <v>2200</v>
      </c>
      <c r="L186">
        <v>8429212.87</v>
      </c>
      <c r="M186">
        <v>65664.84</v>
      </c>
      <c r="N186">
        <v>3775</v>
      </c>
      <c r="O186">
        <v>8305000</v>
      </c>
      <c r="P186">
        <v>63419.09</v>
      </c>
      <c r="Q186">
        <v>0</v>
      </c>
      <c r="R186">
        <v>0</v>
      </c>
      <c r="S186">
        <v>0.035</v>
      </c>
      <c r="T186" t="s">
        <v>31</v>
      </c>
    </row>
    <row r="187" spans="1:20" ht="15">
      <c r="A187" t="s">
        <v>19</v>
      </c>
      <c r="B187" t="s">
        <v>20</v>
      </c>
      <c r="C187" t="str">
        <f t="shared" si="2"/>
        <v>31-Dec-21</v>
      </c>
      <c r="D187" t="s">
        <v>21</v>
      </c>
      <c r="E187" t="s">
        <v>28</v>
      </c>
      <c r="F187" t="str">
        <f>"6483489"</f>
        <v>6483489</v>
      </c>
      <c r="G187" t="s">
        <v>213</v>
      </c>
      <c r="I187" t="s">
        <v>30</v>
      </c>
      <c r="J187">
        <v>0.007636254</v>
      </c>
      <c r="K187">
        <v>33300</v>
      </c>
      <c r="L187">
        <v>57591578.72</v>
      </c>
      <c r="M187">
        <v>433803.15</v>
      </c>
      <c r="N187">
        <v>1074</v>
      </c>
      <c r="O187">
        <v>35764200</v>
      </c>
      <c r="P187">
        <v>273104.51</v>
      </c>
      <c r="Q187">
        <v>0</v>
      </c>
      <c r="R187">
        <v>0</v>
      </c>
      <c r="S187">
        <v>0.151</v>
      </c>
      <c r="T187" t="s">
        <v>31</v>
      </c>
    </row>
    <row r="188" spans="1:20" ht="15">
      <c r="A188" t="s">
        <v>19</v>
      </c>
      <c r="B188" t="s">
        <v>20</v>
      </c>
      <c r="C188" t="str">
        <f t="shared" si="2"/>
        <v>31-Dec-21</v>
      </c>
      <c r="D188" t="s">
        <v>21</v>
      </c>
      <c r="E188" t="s">
        <v>28</v>
      </c>
      <c r="F188" t="str">
        <f>"6483746"</f>
        <v>6483746</v>
      </c>
      <c r="G188" t="s">
        <v>214</v>
      </c>
      <c r="I188" t="s">
        <v>30</v>
      </c>
      <c r="J188">
        <v>0.007636254</v>
      </c>
      <c r="K188">
        <v>8800</v>
      </c>
      <c r="L188">
        <v>14975013.7</v>
      </c>
      <c r="M188">
        <v>117314.49</v>
      </c>
      <c r="N188">
        <v>2500</v>
      </c>
      <c r="O188">
        <v>22000000</v>
      </c>
      <c r="P188">
        <v>167997.58</v>
      </c>
      <c r="Q188">
        <v>0</v>
      </c>
      <c r="R188">
        <v>0</v>
      </c>
      <c r="S188">
        <v>0.093</v>
      </c>
      <c r="T188" t="s">
        <v>31</v>
      </c>
    </row>
    <row r="189" spans="1:20" ht="15">
      <c r="A189" t="s">
        <v>19</v>
      </c>
      <c r="B189" t="s">
        <v>20</v>
      </c>
      <c r="C189" t="str">
        <f t="shared" si="2"/>
        <v>31-Dec-21</v>
      </c>
      <c r="D189" t="s">
        <v>21</v>
      </c>
      <c r="E189" t="s">
        <v>28</v>
      </c>
      <c r="F189" t="str">
        <f>"6483809"</f>
        <v>6483809</v>
      </c>
      <c r="G189" t="s">
        <v>215</v>
      </c>
      <c r="I189" t="s">
        <v>30</v>
      </c>
      <c r="J189">
        <v>0.007636254</v>
      </c>
      <c r="K189">
        <v>21636</v>
      </c>
      <c r="L189">
        <v>84094338.24</v>
      </c>
      <c r="M189">
        <v>658877.9</v>
      </c>
      <c r="N189">
        <v>6019</v>
      </c>
      <c r="O189">
        <v>130227084</v>
      </c>
      <c r="P189">
        <v>994447.05</v>
      </c>
      <c r="Q189">
        <v>1324123.2</v>
      </c>
      <c r="R189">
        <v>10111.34</v>
      </c>
      <c r="S189">
        <v>0.554</v>
      </c>
      <c r="T189" t="s">
        <v>31</v>
      </c>
    </row>
    <row r="190" spans="1:20" ht="15">
      <c r="A190" t="s">
        <v>19</v>
      </c>
      <c r="B190" t="s">
        <v>20</v>
      </c>
      <c r="C190" t="str">
        <f t="shared" si="2"/>
        <v>31-Dec-21</v>
      </c>
      <c r="D190" t="s">
        <v>21</v>
      </c>
      <c r="E190" t="s">
        <v>28</v>
      </c>
      <c r="F190" t="str">
        <f>"6484620"</f>
        <v>6484620</v>
      </c>
      <c r="G190" t="s">
        <v>216</v>
      </c>
      <c r="I190" t="s">
        <v>30</v>
      </c>
      <c r="J190">
        <v>0.007636254</v>
      </c>
      <c r="K190">
        <v>6499</v>
      </c>
      <c r="L190">
        <v>21807090.63</v>
      </c>
      <c r="M190">
        <v>166895.69</v>
      </c>
      <c r="N190">
        <v>2078</v>
      </c>
      <c r="O190">
        <v>13504922</v>
      </c>
      <c r="P190">
        <v>103127.01</v>
      </c>
      <c r="Q190">
        <v>0</v>
      </c>
      <c r="R190">
        <v>0</v>
      </c>
      <c r="S190">
        <v>0.057</v>
      </c>
      <c r="T190" t="s">
        <v>31</v>
      </c>
    </row>
    <row r="191" spans="1:20" ht="15">
      <c r="A191" t="s">
        <v>19</v>
      </c>
      <c r="B191" t="s">
        <v>20</v>
      </c>
      <c r="C191" t="str">
        <f t="shared" si="2"/>
        <v>31-Dec-21</v>
      </c>
      <c r="D191" t="s">
        <v>21</v>
      </c>
      <c r="E191" t="s">
        <v>28</v>
      </c>
      <c r="F191" t="str">
        <f>"6484686"</f>
        <v>6484686</v>
      </c>
      <c r="G191" t="s">
        <v>217</v>
      </c>
      <c r="I191" t="s">
        <v>30</v>
      </c>
      <c r="J191">
        <v>0.007636254</v>
      </c>
      <c r="K191">
        <v>3700</v>
      </c>
      <c r="L191">
        <v>28118588.31</v>
      </c>
      <c r="M191">
        <v>217852.32</v>
      </c>
      <c r="N191">
        <v>6920</v>
      </c>
      <c r="O191">
        <v>25604000</v>
      </c>
      <c r="P191">
        <v>195518.64</v>
      </c>
      <c r="Q191">
        <v>0</v>
      </c>
      <c r="R191">
        <v>0</v>
      </c>
      <c r="S191">
        <v>0.108</v>
      </c>
      <c r="T191" t="s">
        <v>31</v>
      </c>
    </row>
    <row r="192" spans="1:20" ht="15">
      <c r="A192" t="s">
        <v>19</v>
      </c>
      <c r="B192" t="s">
        <v>20</v>
      </c>
      <c r="C192" t="str">
        <f t="shared" si="2"/>
        <v>31-Dec-21</v>
      </c>
      <c r="D192" t="s">
        <v>21</v>
      </c>
      <c r="E192" t="s">
        <v>28</v>
      </c>
      <c r="F192" t="str">
        <f>"6487232"</f>
        <v>6487232</v>
      </c>
      <c r="G192" t="s">
        <v>218</v>
      </c>
      <c r="I192" t="s">
        <v>30</v>
      </c>
      <c r="J192">
        <v>0.007636254</v>
      </c>
      <c r="K192">
        <v>4500</v>
      </c>
      <c r="L192">
        <v>11384257.76</v>
      </c>
      <c r="M192">
        <v>88085.93</v>
      </c>
      <c r="N192">
        <v>2646</v>
      </c>
      <c r="O192">
        <v>11907000</v>
      </c>
      <c r="P192">
        <v>90924.87</v>
      </c>
      <c r="Q192">
        <v>0</v>
      </c>
      <c r="R192">
        <v>0</v>
      </c>
      <c r="S192">
        <v>0.05</v>
      </c>
      <c r="T192" t="s">
        <v>31</v>
      </c>
    </row>
    <row r="193" spans="1:20" ht="15">
      <c r="A193" t="s">
        <v>19</v>
      </c>
      <c r="B193" t="s">
        <v>20</v>
      </c>
      <c r="C193" t="str">
        <f t="shared" si="2"/>
        <v>31-Dec-21</v>
      </c>
      <c r="D193" t="s">
        <v>21</v>
      </c>
      <c r="E193" t="s">
        <v>28</v>
      </c>
      <c r="F193" t="str">
        <f>"6487306"</f>
        <v>6487306</v>
      </c>
      <c r="G193" t="s">
        <v>219</v>
      </c>
      <c r="I193" t="s">
        <v>30</v>
      </c>
      <c r="J193">
        <v>0.007636254</v>
      </c>
      <c r="K193">
        <v>11300</v>
      </c>
      <c r="L193">
        <v>20659590.15</v>
      </c>
      <c r="M193">
        <v>163177.12</v>
      </c>
      <c r="N193">
        <v>1150</v>
      </c>
      <c r="O193">
        <v>12995000</v>
      </c>
      <c r="P193">
        <v>99233.12</v>
      </c>
      <c r="Q193">
        <v>0</v>
      </c>
      <c r="R193">
        <v>0</v>
      </c>
      <c r="S193">
        <v>0.055</v>
      </c>
      <c r="T193" t="s">
        <v>31</v>
      </c>
    </row>
    <row r="194" spans="1:20" ht="15">
      <c r="A194" t="s">
        <v>19</v>
      </c>
      <c r="B194" t="s">
        <v>20</v>
      </c>
      <c r="C194" t="str">
        <f aca="true" t="shared" si="3" ref="C194:C257">"31-Dec-21"</f>
        <v>31-Dec-21</v>
      </c>
      <c r="D194" t="s">
        <v>21</v>
      </c>
      <c r="E194" t="s">
        <v>28</v>
      </c>
      <c r="F194" t="str">
        <f>"6487362"</f>
        <v>6487362</v>
      </c>
      <c r="G194" t="s">
        <v>220</v>
      </c>
      <c r="I194" t="s">
        <v>30</v>
      </c>
      <c r="J194">
        <v>0.007636254</v>
      </c>
      <c r="K194">
        <v>5400</v>
      </c>
      <c r="L194">
        <v>20795577.16</v>
      </c>
      <c r="M194">
        <v>161026.6</v>
      </c>
      <c r="N194">
        <v>5070</v>
      </c>
      <c r="O194">
        <v>27378000</v>
      </c>
      <c r="P194">
        <v>209065.35</v>
      </c>
      <c r="Q194">
        <v>0</v>
      </c>
      <c r="R194">
        <v>0</v>
      </c>
      <c r="S194">
        <v>0.115</v>
      </c>
      <c r="T194" t="s">
        <v>31</v>
      </c>
    </row>
    <row r="195" spans="1:20" ht="15">
      <c r="A195" t="s">
        <v>19</v>
      </c>
      <c r="B195" t="s">
        <v>20</v>
      </c>
      <c r="C195" t="str">
        <f t="shared" si="3"/>
        <v>31-Dec-21</v>
      </c>
      <c r="D195" t="s">
        <v>21</v>
      </c>
      <c r="E195" t="s">
        <v>28</v>
      </c>
      <c r="F195" t="str">
        <f>"6487425"</f>
        <v>6487425</v>
      </c>
      <c r="G195" t="s">
        <v>221</v>
      </c>
      <c r="I195" t="s">
        <v>30</v>
      </c>
      <c r="J195">
        <v>0.007636254</v>
      </c>
      <c r="K195">
        <v>6400</v>
      </c>
      <c r="L195">
        <v>13465512.29</v>
      </c>
      <c r="M195">
        <v>106692.62</v>
      </c>
      <c r="N195">
        <v>3110</v>
      </c>
      <c r="O195">
        <v>19904000</v>
      </c>
      <c r="P195">
        <v>151991.99</v>
      </c>
      <c r="Q195">
        <v>0</v>
      </c>
      <c r="R195">
        <v>0</v>
      </c>
      <c r="S195">
        <v>0.084</v>
      </c>
      <c r="T195" t="s">
        <v>31</v>
      </c>
    </row>
    <row r="196" spans="1:20" ht="15">
      <c r="A196" t="s">
        <v>19</v>
      </c>
      <c r="B196" t="s">
        <v>20</v>
      </c>
      <c r="C196" t="str">
        <f t="shared" si="3"/>
        <v>31-Dec-21</v>
      </c>
      <c r="D196" t="s">
        <v>21</v>
      </c>
      <c r="E196" t="s">
        <v>28</v>
      </c>
      <c r="F196" t="str">
        <f>"B0C5Q59"</f>
        <v>B0C5Q59</v>
      </c>
      <c r="G196" t="s">
        <v>222</v>
      </c>
      <c r="I196" t="s">
        <v>30</v>
      </c>
      <c r="J196">
        <v>0.007636254</v>
      </c>
      <c r="K196">
        <v>18</v>
      </c>
      <c r="L196">
        <v>12628972.67</v>
      </c>
      <c r="M196">
        <v>98499.07</v>
      </c>
      <c r="N196">
        <v>711000</v>
      </c>
      <c r="O196">
        <v>12798000</v>
      </c>
      <c r="P196">
        <v>97728.78</v>
      </c>
      <c r="Q196">
        <v>214200</v>
      </c>
      <c r="R196">
        <v>1635.69</v>
      </c>
      <c r="S196">
        <v>0.055</v>
      </c>
      <c r="T196" t="s">
        <v>31</v>
      </c>
    </row>
    <row r="197" spans="1:20" ht="15">
      <c r="A197" t="s">
        <v>19</v>
      </c>
      <c r="B197" t="s">
        <v>20</v>
      </c>
      <c r="C197" t="str">
        <f t="shared" si="3"/>
        <v>31-Dec-21</v>
      </c>
      <c r="D197" t="s">
        <v>21</v>
      </c>
      <c r="E197" t="s">
        <v>28</v>
      </c>
      <c r="F197" t="str">
        <f>"6714509"</f>
        <v>6714509</v>
      </c>
      <c r="G197" t="s">
        <v>223</v>
      </c>
      <c r="I197" t="s">
        <v>30</v>
      </c>
      <c r="J197">
        <v>0.007636254</v>
      </c>
      <c r="K197">
        <v>5100</v>
      </c>
      <c r="L197">
        <v>7465668.85</v>
      </c>
      <c r="M197">
        <v>58668.06</v>
      </c>
      <c r="N197">
        <v>2480</v>
      </c>
      <c r="O197">
        <v>12648000</v>
      </c>
      <c r="P197">
        <v>96583.34</v>
      </c>
      <c r="Q197">
        <v>117045</v>
      </c>
      <c r="R197">
        <v>893.78</v>
      </c>
      <c r="S197">
        <v>0.054</v>
      </c>
      <c r="T197" t="s">
        <v>31</v>
      </c>
    </row>
    <row r="198" spans="1:20" ht="15">
      <c r="A198" t="s">
        <v>19</v>
      </c>
      <c r="B198" t="s">
        <v>20</v>
      </c>
      <c r="C198" t="str">
        <f t="shared" si="3"/>
        <v>31-Dec-21</v>
      </c>
      <c r="D198" t="s">
        <v>21</v>
      </c>
      <c r="E198" t="s">
        <v>28</v>
      </c>
      <c r="F198" t="str">
        <f>"6490995"</f>
        <v>6490995</v>
      </c>
      <c r="G198" t="s">
        <v>224</v>
      </c>
      <c r="I198" t="s">
        <v>30</v>
      </c>
      <c r="J198">
        <v>0.007636254</v>
      </c>
      <c r="K198">
        <v>8400</v>
      </c>
      <c r="L198">
        <v>108606294.3</v>
      </c>
      <c r="M198">
        <v>861587.96</v>
      </c>
      <c r="N198">
        <v>72280</v>
      </c>
      <c r="O198">
        <v>607152000</v>
      </c>
      <c r="P198">
        <v>4636366.71</v>
      </c>
      <c r="Q198">
        <v>0</v>
      </c>
      <c r="R198">
        <v>0</v>
      </c>
      <c r="S198">
        <v>2.556</v>
      </c>
      <c r="T198" t="s">
        <v>31</v>
      </c>
    </row>
    <row r="199" spans="1:20" ht="15">
      <c r="A199" t="s">
        <v>19</v>
      </c>
      <c r="B199" t="s">
        <v>20</v>
      </c>
      <c r="C199" t="str">
        <f t="shared" si="3"/>
        <v>31-Dec-21</v>
      </c>
      <c r="D199" t="s">
        <v>21</v>
      </c>
      <c r="E199" t="s">
        <v>28</v>
      </c>
      <c r="F199" t="str">
        <f>"6490809"</f>
        <v>6490809</v>
      </c>
      <c r="G199" t="s">
        <v>225</v>
      </c>
      <c r="I199" t="s">
        <v>30</v>
      </c>
      <c r="J199">
        <v>0.007636254</v>
      </c>
      <c r="K199">
        <v>8500</v>
      </c>
      <c r="L199">
        <v>16841648.29</v>
      </c>
      <c r="M199">
        <v>133057.3</v>
      </c>
      <c r="N199">
        <v>9670</v>
      </c>
      <c r="O199">
        <v>82195000</v>
      </c>
      <c r="P199">
        <v>627661.87</v>
      </c>
      <c r="Q199">
        <v>0</v>
      </c>
      <c r="R199">
        <v>0</v>
      </c>
      <c r="S199">
        <v>0.346</v>
      </c>
      <c r="T199" t="s">
        <v>31</v>
      </c>
    </row>
    <row r="200" spans="1:20" ht="15">
      <c r="A200" t="s">
        <v>19</v>
      </c>
      <c r="B200" t="s">
        <v>20</v>
      </c>
      <c r="C200" t="str">
        <f t="shared" si="3"/>
        <v>31-Dec-21</v>
      </c>
      <c r="D200" t="s">
        <v>21</v>
      </c>
      <c r="E200" t="s">
        <v>28</v>
      </c>
      <c r="F200" t="str">
        <f>"6492924"</f>
        <v>6492924</v>
      </c>
      <c r="G200" t="s">
        <v>226</v>
      </c>
      <c r="I200" t="s">
        <v>30</v>
      </c>
      <c r="J200">
        <v>0.007636254</v>
      </c>
      <c r="K200">
        <v>6600</v>
      </c>
      <c r="L200">
        <v>7964118.56</v>
      </c>
      <c r="M200">
        <v>61420.94</v>
      </c>
      <c r="N200">
        <v>1728</v>
      </c>
      <c r="O200">
        <v>11404800</v>
      </c>
      <c r="P200">
        <v>87089.95</v>
      </c>
      <c r="Q200">
        <v>0</v>
      </c>
      <c r="R200">
        <v>0</v>
      </c>
      <c r="S200">
        <v>0.048</v>
      </c>
      <c r="T200" t="s">
        <v>31</v>
      </c>
    </row>
    <row r="201" spans="1:20" ht="15">
      <c r="A201" t="s">
        <v>19</v>
      </c>
      <c r="B201" t="s">
        <v>20</v>
      </c>
      <c r="C201" t="str">
        <f t="shared" si="3"/>
        <v>31-Dec-21</v>
      </c>
      <c r="D201" t="s">
        <v>21</v>
      </c>
      <c r="E201" t="s">
        <v>28</v>
      </c>
      <c r="F201" t="str">
        <f>"6492968"</f>
        <v>6492968</v>
      </c>
      <c r="G201" t="s">
        <v>227</v>
      </c>
      <c r="I201" t="s">
        <v>30</v>
      </c>
      <c r="J201">
        <v>0.007636254</v>
      </c>
      <c r="K201">
        <v>8399</v>
      </c>
      <c r="L201">
        <v>29390092.82</v>
      </c>
      <c r="M201">
        <v>236789.86</v>
      </c>
      <c r="N201">
        <v>3215</v>
      </c>
      <c r="O201">
        <v>27002785</v>
      </c>
      <c r="P201">
        <v>206200.12</v>
      </c>
      <c r="Q201">
        <v>0</v>
      </c>
      <c r="R201">
        <v>0</v>
      </c>
      <c r="S201">
        <v>0.114</v>
      </c>
      <c r="T201" t="s">
        <v>31</v>
      </c>
    </row>
    <row r="202" spans="1:20" ht="15">
      <c r="A202" t="s">
        <v>19</v>
      </c>
      <c r="B202" t="s">
        <v>20</v>
      </c>
      <c r="C202" t="str">
        <f t="shared" si="3"/>
        <v>31-Dec-21</v>
      </c>
      <c r="D202" t="s">
        <v>21</v>
      </c>
      <c r="E202" t="s">
        <v>28</v>
      </c>
      <c r="F202" t="str">
        <f>"6493745"</f>
        <v>6493745</v>
      </c>
      <c r="G202" t="s">
        <v>228</v>
      </c>
      <c r="I202" t="s">
        <v>30</v>
      </c>
      <c r="J202">
        <v>0.007636254</v>
      </c>
      <c r="K202">
        <v>35600</v>
      </c>
      <c r="L202">
        <v>61434298.32</v>
      </c>
      <c r="M202">
        <v>481695.12</v>
      </c>
      <c r="N202">
        <v>1847</v>
      </c>
      <c r="O202">
        <v>65753200</v>
      </c>
      <c r="P202">
        <v>502108.12</v>
      </c>
      <c r="Q202">
        <v>983450</v>
      </c>
      <c r="R202">
        <v>7509.88</v>
      </c>
      <c r="S202">
        <v>0.281</v>
      </c>
      <c r="T202" t="s">
        <v>31</v>
      </c>
    </row>
    <row r="203" spans="1:20" ht="15">
      <c r="A203" t="s">
        <v>19</v>
      </c>
      <c r="B203" t="s">
        <v>20</v>
      </c>
      <c r="C203" t="str">
        <f t="shared" si="3"/>
        <v>31-Dec-21</v>
      </c>
      <c r="D203" t="s">
        <v>21</v>
      </c>
      <c r="E203" t="s">
        <v>28</v>
      </c>
      <c r="F203" t="str">
        <f>"6149457"</f>
        <v>6149457</v>
      </c>
      <c r="G203" t="s">
        <v>229</v>
      </c>
      <c r="I203" t="s">
        <v>30</v>
      </c>
      <c r="J203">
        <v>0.007636254</v>
      </c>
      <c r="K203">
        <v>2800</v>
      </c>
      <c r="L203">
        <v>12240331.98</v>
      </c>
      <c r="M203">
        <v>96825.05</v>
      </c>
      <c r="N203">
        <v>9040</v>
      </c>
      <c r="O203">
        <v>25312000</v>
      </c>
      <c r="P203">
        <v>193288.85</v>
      </c>
      <c r="Q203">
        <v>104720</v>
      </c>
      <c r="R203">
        <v>799.67</v>
      </c>
      <c r="S203">
        <v>0.107</v>
      </c>
      <c r="T203" t="s">
        <v>31</v>
      </c>
    </row>
    <row r="204" spans="1:20" ht="15">
      <c r="A204" t="s">
        <v>19</v>
      </c>
      <c r="B204" t="s">
        <v>20</v>
      </c>
      <c r="C204" t="str">
        <f t="shared" si="3"/>
        <v>31-Dec-21</v>
      </c>
      <c r="D204" t="s">
        <v>21</v>
      </c>
      <c r="E204" t="s">
        <v>28</v>
      </c>
      <c r="F204" t="str">
        <f>"B14RJB7"</f>
        <v>B14RJB7</v>
      </c>
      <c r="G204" t="s">
        <v>230</v>
      </c>
      <c r="I204" t="s">
        <v>30</v>
      </c>
      <c r="J204">
        <v>0.007636254</v>
      </c>
      <c r="K204">
        <v>1600</v>
      </c>
      <c r="L204">
        <v>1961988.72</v>
      </c>
      <c r="M204">
        <v>16514.63</v>
      </c>
      <c r="N204">
        <v>4455</v>
      </c>
      <c r="O204">
        <v>7128000</v>
      </c>
      <c r="P204">
        <v>54431.22</v>
      </c>
      <c r="Q204">
        <v>39100</v>
      </c>
      <c r="R204">
        <v>298.58</v>
      </c>
      <c r="S204">
        <v>0.03</v>
      </c>
      <c r="T204" t="s">
        <v>31</v>
      </c>
    </row>
    <row r="205" spans="1:20" ht="15">
      <c r="A205" t="s">
        <v>19</v>
      </c>
      <c r="B205" t="s">
        <v>20</v>
      </c>
      <c r="C205" t="str">
        <f t="shared" si="3"/>
        <v>31-Dec-21</v>
      </c>
      <c r="D205" t="s">
        <v>21</v>
      </c>
      <c r="E205" t="s">
        <v>28</v>
      </c>
      <c r="F205" t="str">
        <f>"6496023"</f>
        <v>6496023</v>
      </c>
      <c r="G205" t="s">
        <v>231</v>
      </c>
      <c r="I205" t="s">
        <v>30</v>
      </c>
      <c r="J205">
        <v>0.007636254</v>
      </c>
      <c r="K205">
        <v>15300</v>
      </c>
      <c r="L205">
        <v>31553989.54</v>
      </c>
      <c r="M205">
        <v>230170.4</v>
      </c>
      <c r="N205">
        <v>577</v>
      </c>
      <c r="O205">
        <v>8828100</v>
      </c>
      <c r="P205">
        <v>67413.61</v>
      </c>
      <c r="Q205">
        <v>0</v>
      </c>
      <c r="R205">
        <v>0</v>
      </c>
      <c r="S205">
        <v>0.037</v>
      </c>
      <c r="T205" t="s">
        <v>31</v>
      </c>
    </row>
    <row r="206" spans="1:20" ht="15">
      <c r="A206" t="s">
        <v>19</v>
      </c>
      <c r="B206" t="s">
        <v>20</v>
      </c>
      <c r="C206" t="str">
        <f t="shared" si="3"/>
        <v>31-Dec-21</v>
      </c>
      <c r="D206" t="s">
        <v>21</v>
      </c>
      <c r="E206" t="s">
        <v>28</v>
      </c>
      <c r="F206" t="str">
        <f>"B60DR09"</f>
        <v>B60DR09</v>
      </c>
      <c r="G206" t="s">
        <v>232</v>
      </c>
      <c r="I206" t="s">
        <v>30</v>
      </c>
      <c r="J206">
        <v>0.007636254</v>
      </c>
      <c r="K206">
        <v>3462</v>
      </c>
      <c r="L206">
        <v>5147432.23</v>
      </c>
      <c r="M206">
        <v>43339.61</v>
      </c>
      <c r="N206">
        <v>4525</v>
      </c>
      <c r="O206">
        <v>15665550</v>
      </c>
      <c r="P206">
        <v>119626.11</v>
      </c>
      <c r="Q206">
        <v>0</v>
      </c>
      <c r="R206">
        <v>0</v>
      </c>
      <c r="S206">
        <v>0.066</v>
      </c>
      <c r="T206" t="s">
        <v>31</v>
      </c>
    </row>
    <row r="207" spans="1:20" ht="15">
      <c r="A207" t="s">
        <v>19</v>
      </c>
      <c r="B207" t="s">
        <v>20</v>
      </c>
      <c r="C207" t="str">
        <f t="shared" si="3"/>
        <v>31-Dec-21</v>
      </c>
      <c r="D207" t="s">
        <v>21</v>
      </c>
      <c r="E207" t="s">
        <v>28</v>
      </c>
      <c r="F207" t="str">
        <f>"6496324"</f>
        <v>6496324</v>
      </c>
      <c r="G207" t="s">
        <v>233</v>
      </c>
      <c r="I207" t="s">
        <v>30</v>
      </c>
      <c r="J207">
        <v>0.007636254</v>
      </c>
      <c r="K207">
        <v>5500</v>
      </c>
      <c r="L207">
        <v>14890698.29</v>
      </c>
      <c r="M207">
        <v>118748.39</v>
      </c>
      <c r="N207">
        <v>6090</v>
      </c>
      <c r="O207">
        <v>33495000</v>
      </c>
      <c r="P207">
        <v>255776.32</v>
      </c>
      <c r="Q207">
        <v>0</v>
      </c>
      <c r="R207">
        <v>0</v>
      </c>
      <c r="S207">
        <v>0.141</v>
      </c>
      <c r="T207" t="s">
        <v>31</v>
      </c>
    </row>
    <row r="208" spans="1:20" ht="15">
      <c r="A208" t="s">
        <v>19</v>
      </c>
      <c r="B208" t="s">
        <v>20</v>
      </c>
      <c r="C208" t="str">
        <f t="shared" si="3"/>
        <v>31-Dec-21</v>
      </c>
      <c r="D208" t="s">
        <v>21</v>
      </c>
      <c r="E208" t="s">
        <v>28</v>
      </c>
      <c r="F208" t="str">
        <f>"6496506"</f>
        <v>6496506</v>
      </c>
      <c r="G208" t="s">
        <v>234</v>
      </c>
      <c r="I208" t="s">
        <v>30</v>
      </c>
      <c r="J208">
        <v>0.007636254</v>
      </c>
      <c r="K208">
        <v>3500</v>
      </c>
      <c r="L208">
        <v>7154036.04</v>
      </c>
      <c r="M208">
        <v>54908.22</v>
      </c>
      <c r="N208">
        <v>1714</v>
      </c>
      <c r="O208">
        <v>5999000</v>
      </c>
      <c r="P208">
        <v>45809.89</v>
      </c>
      <c r="Q208">
        <v>63962.5</v>
      </c>
      <c r="R208">
        <v>488.44</v>
      </c>
      <c r="S208">
        <v>0.026</v>
      </c>
      <c r="T208" t="s">
        <v>31</v>
      </c>
    </row>
    <row r="209" spans="1:20" ht="15">
      <c r="A209" t="s">
        <v>19</v>
      </c>
      <c r="B209" t="s">
        <v>20</v>
      </c>
      <c r="C209" t="str">
        <f t="shared" si="3"/>
        <v>31-Dec-21</v>
      </c>
      <c r="D209" t="s">
        <v>21</v>
      </c>
      <c r="E209" t="s">
        <v>28</v>
      </c>
      <c r="F209" t="str">
        <f>"6496584"</f>
        <v>6496584</v>
      </c>
      <c r="G209" t="s">
        <v>235</v>
      </c>
      <c r="I209" t="s">
        <v>30</v>
      </c>
      <c r="J209">
        <v>0.007636254</v>
      </c>
      <c r="K209">
        <v>43100</v>
      </c>
      <c r="L209">
        <v>102179754.63</v>
      </c>
      <c r="M209">
        <v>800886.66</v>
      </c>
      <c r="N209">
        <v>2693.5</v>
      </c>
      <c r="O209">
        <v>116089850</v>
      </c>
      <c r="P209">
        <v>886491.55</v>
      </c>
      <c r="Q209">
        <v>0</v>
      </c>
      <c r="R209">
        <v>0</v>
      </c>
      <c r="S209">
        <v>0.489</v>
      </c>
      <c r="T209" t="s">
        <v>31</v>
      </c>
    </row>
    <row r="210" spans="1:20" ht="15">
      <c r="A210" t="s">
        <v>19</v>
      </c>
      <c r="B210" t="s">
        <v>20</v>
      </c>
      <c r="C210" t="str">
        <f t="shared" si="3"/>
        <v>31-Dec-21</v>
      </c>
      <c r="D210" t="s">
        <v>21</v>
      </c>
      <c r="E210" t="s">
        <v>28</v>
      </c>
      <c r="F210" t="str">
        <f>"6496681"</f>
        <v>6496681</v>
      </c>
      <c r="G210" t="s">
        <v>236</v>
      </c>
      <c r="I210" t="s">
        <v>30</v>
      </c>
      <c r="J210">
        <v>0.007636254</v>
      </c>
      <c r="K210">
        <v>4500</v>
      </c>
      <c r="L210">
        <v>16303716.22</v>
      </c>
      <c r="M210">
        <v>125466.84</v>
      </c>
      <c r="N210">
        <v>5520</v>
      </c>
      <c r="O210">
        <v>24840000</v>
      </c>
      <c r="P210">
        <v>189684.54</v>
      </c>
      <c r="Q210">
        <v>0</v>
      </c>
      <c r="R210">
        <v>0</v>
      </c>
      <c r="S210">
        <v>0.105</v>
      </c>
      <c r="T210" t="s">
        <v>31</v>
      </c>
    </row>
    <row r="211" spans="1:20" ht="15">
      <c r="A211" t="s">
        <v>19</v>
      </c>
      <c r="B211" t="s">
        <v>20</v>
      </c>
      <c r="C211" t="str">
        <f t="shared" si="3"/>
        <v>31-Dec-21</v>
      </c>
      <c r="D211" t="s">
        <v>21</v>
      </c>
      <c r="E211" t="s">
        <v>28</v>
      </c>
      <c r="F211" t="str">
        <f>"6496700"</f>
        <v>6496700</v>
      </c>
      <c r="G211" t="s">
        <v>237</v>
      </c>
      <c r="I211" t="s">
        <v>30</v>
      </c>
      <c r="J211">
        <v>0.007636254</v>
      </c>
      <c r="K211">
        <v>23584</v>
      </c>
      <c r="L211">
        <v>24403459.85</v>
      </c>
      <c r="M211">
        <v>183633.92</v>
      </c>
      <c r="N211">
        <v>524</v>
      </c>
      <c r="O211">
        <v>12358016</v>
      </c>
      <c r="P211">
        <v>94368.95</v>
      </c>
      <c r="Q211">
        <v>0</v>
      </c>
      <c r="R211">
        <v>0</v>
      </c>
      <c r="S211">
        <v>0.052</v>
      </c>
      <c r="T211" t="s">
        <v>31</v>
      </c>
    </row>
    <row r="212" spans="1:20" ht="15">
      <c r="A212" t="s">
        <v>19</v>
      </c>
      <c r="B212" t="s">
        <v>20</v>
      </c>
      <c r="C212" t="str">
        <f t="shared" si="3"/>
        <v>31-Dec-21</v>
      </c>
      <c r="D212" t="s">
        <v>21</v>
      </c>
      <c r="E212" t="s">
        <v>28</v>
      </c>
      <c r="F212" t="str">
        <f>"6194468"</f>
        <v>6194468</v>
      </c>
      <c r="G212" t="s">
        <v>238</v>
      </c>
      <c r="I212" t="s">
        <v>30</v>
      </c>
      <c r="J212">
        <v>0.007636254</v>
      </c>
      <c r="K212">
        <v>1298</v>
      </c>
      <c r="L212">
        <v>11592631.84</v>
      </c>
      <c r="M212">
        <v>91598.81</v>
      </c>
      <c r="N212">
        <v>13050</v>
      </c>
      <c r="O212">
        <v>16938900</v>
      </c>
      <c r="P212">
        <v>129349.74</v>
      </c>
      <c r="Q212">
        <v>66198</v>
      </c>
      <c r="R212">
        <v>505.5</v>
      </c>
      <c r="S212">
        <v>0.072</v>
      </c>
      <c r="T212" t="s">
        <v>31</v>
      </c>
    </row>
    <row r="213" spans="1:20" ht="15">
      <c r="A213" t="s">
        <v>19</v>
      </c>
      <c r="B213" t="s">
        <v>20</v>
      </c>
      <c r="C213" t="str">
        <f t="shared" si="3"/>
        <v>31-Dec-21</v>
      </c>
      <c r="D213" t="s">
        <v>21</v>
      </c>
      <c r="E213" t="s">
        <v>28</v>
      </c>
      <c r="F213" t="str">
        <f>"6489465"</f>
        <v>6489465</v>
      </c>
      <c r="G213" t="s">
        <v>239</v>
      </c>
      <c r="I213" t="s">
        <v>30</v>
      </c>
      <c r="J213">
        <v>0.007636254</v>
      </c>
      <c r="K213">
        <v>900</v>
      </c>
      <c r="L213">
        <v>6214979.45</v>
      </c>
      <c r="M213">
        <v>51637.74</v>
      </c>
      <c r="N213">
        <v>5510</v>
      </c>
      <c r="O213">
        <v>4959000</v>
      </c>
      <c r="P213">
        <v>37868.18</v>
      </c>
      <c r="Q213">
        <v>0</v>
      </c>
      <c r="R213">
        <v>0</v>
      </c>
      <c r="S213">
        <v>0.021</v>
      </c>
      <c r="T213" t="s">
        <v>31</v>
      </c>
    </row>
    <row r="214" spans="1:20" ht="15">
      <c r="A214" t="s">
        <v>19</v>
      </c>
      <c r="B214" t="s">
        <v>20</v>
      </c>
      <c r="C214" t="str">
        <f t="shared" si="3"/>
        <v>31-Dec-21</v>
      </c>
      <c r="D214" t="s">
        <v>21</v>
      </c>
      <c r="E214" t="s">
        <v>28</v>
      </c>
      <c r="F214" t="str">
        <f>"6497509"</f>
        <v>6497509</v>
      </c>
      <c r="G214" t="s">
        <v>240</v>
      </c>
      <c r="I214" t="s">
        <v>30</v>
      </c>
      <c r="J214">
        <v>0.007636254</v>
      </c>
      <c r="K214">
        <v>49800</v>
      </c>
      <c r="L214">
        <v>68146430.39</v>
      </c>
      <c r="M214">
        <v>536014.21</v>
      </c>
      <c r="N214">
        <v>2553.5</v>
      </c>
      <c r="O214">
        <v>127164300</v>
      </c>
      <c r="P214">
        <v>971058.86</v>
      </c>
      <c r="Q214">
        <v>888930</v>
      </c>
      <c r="R214">
        <v>6788.09</v>
      </c>
      <c r="S214">
        <v>0.539</v>
      </c>
      <c r="T214" t="s">
        <v>31</v>
      </c>
    </row>
    <row r="215" spans="1:20" ht="15">
      <c r="A215" t="s">
        <v>19</v>
      </c>
      <c r="B215" t="s">
        <v>20</v>
      </c>
      <c r="C215" t="str">
        <f t="shared" si="3"/>
        <v>31-Dec-21</v>
      </c>
      <c r="D215" t="s">
        <v>21</v>
      </c>
      <c r="E215" t="s">
        <v>28</v>
      </c>
      <c r="F215" t="str">
        <f>"6497662"</f>
        <v>6497662</v>
      </c>
      <c r="G215" t="s">
        <v>241</v>
      </c>
      <c r="I215" t="s">
        <v>30</v>
      </c>
      <c r="J215">
        <v>0.007636254</v>
      </c>
      <c r="K215">
        <v>15700</v>
      </c>
      <c r="L215">
        <v>21581681.13</v>
      </c>
      <c r="M215">
        <v>170496.81</v>
      </c>
      <c r="N215">
        <v>999</v>
      </c>
      <c r="O215">
        <v>15684300</v>
      </c>
      <c r="P215">
        <v>119769.29</v>
      </c>
      <c r="Q215">
        <v>266900</v>
      </c>
      <c r="R215">
        <v>2038.11</v>
      </c>
      <c r="S215">
        <v>0.067</v>
      </c>
      <c r="T215" t="s">
        <v>31</v>
      </c>
    </row>
    <row r="216" spans="1:20" ht="15">
      <c r="A216" t="s">
        <v>19</v>
      </c>
      <c r="B216" t="s">
        <v>20</v>
      </c>
      <c r="C216" t="str">
        <f t="shared" si="3"/>
        <v>31-Dec-21</v>
      </c>
      <c r="D216" t="s">
        <v>21</v>
      </c>
      <c r="E216" t="s">
        <v>28</v>
      </c>
      <c r="F216" t="str">
        <f>"6497963"</f>
        <v>6497963</v>
      </c>
      <c r="G216" t="s">
        <v>242</v>
      </c>
      <c r="I216" t="s">
        <v>30</v>
      </c>
      <c r="J216">
        <v>0.007636254</v>
      </c>
      <c r="K216">
        <v>5000</v>
      </c>
      <c r="L216">
        <v>12392632.49</v>
      </c>
      <c r="M216">
        <v>96290.51</v>
      </c>
      <c r="N216">
        <v>5460</v>
      </c>
      <c r="O216">
        <v>27300000</v>
      </c>
      <c r="P216">
        <v>208469.73</v>
      </c>
      <c r="Q216">
        <v>0</v>
      </c>
      <c r="R216">
        <v>0</v>
      </c>
      <c r="S216">
        <v>0.115</v>
      </c>
      <c r="T216" t="s">
        <v>31</v>
      </c>
    </row>
    <row r="217" spans="1:20" ht="15">
      <c r="A217" t="s">
        <v>19</v>
      </c>
      <c r="B217" t="s">
        <v>20</v>
      </c>
      <c r="C217" t="str">
        <f t="shared" si="3"/>
        <v>31-Dec-21</v>
      </c>
      <c r="D217" t="s">
        <v>21</v>
      </c>
      <c r="E217" t="s">
        <v>28</v>
      </c>
      <c r="F217" t="str">
        <f>"BYX8TV2"</f>
        <v>BYX8TV2</v>
      </c>
      <c r="G217" t="s">
        <v>243</v>
      </c>
      <c r="I217" t="s">
        <v>30</v>
      </c>
      <c r="J217">
        <v>0.007636254</v>
      </c>
      <c r="K217">
        <v>500</v>
      </c>
      <c r="L217">
        <v>2997749.35</v>
      </c>
      <c r="M217">
        <v>25358.53</v>
      </c>
      <c r="N217">
        <v>7290</v>
      </c>
      <c r="O217">
        <v>3645000</v>
      </c>
      <c r="P217">
        <v>27834.14</v>
      </c>
      <c r="Q217">
        <v>5525</v>
      </c>
      <c r="R217">
        <v>42.19</v>
      </c>
      <c r="S217">
        <v>0.015</v>
      </c>
      <c r="T217" t="s">
        <v>31</v>
      </c>
    </row>
    <row r="218" spans="1:20" ht="15">
      <c r="A218" t="s">
        <v>19</v>
      </c>
      <c r="B218" t="s">
        <v>20</v>
      </c>
      <c r="C218" t="str">
        <f t="shared" si="3"/>
        <v>31-Dec-21</v>
      </c>
      <c r="D218" t="s">
        <v>21</v>
      </c>
      <c r="E218" t="s">
        <v>28</v>
      </c>
      <c r="F218" t="str">
        <f>"6499260"</f>
        <v>6499260</v>
      </c>
      <c r="G218" t="s">
        <v>244</v>
      </c>
      <c r="I218" t="s">
        <v>30</v>
      </c>
      <c r="J218">
        <v>0.007636254</v>
      </c>
      <c r="K218">
        <v>14000</v>
      </c>
      <c r="L218">
        <v>70682964.92</v>
      </c>
      <c r="M218">
        <v>551696.27</v>
      </c>
      <c r="N218">
        <v>7187</v>
      </c>
      <c r="O218">
        <v>100618000</v>
      </c>
      <c r="P218">
        <v>768344.58</v>
      </c>
      <c r="Q218">
        <v>0</v>
      </c>
      <c r="R218">
        <v>0</v>
      </c>
      <c r="S218">
        <v>0.424</v>
      </c>
      <c r="T218" t="s">
        <v>31</v>
      </c>
    </row>
    <row r="219" spans="1:20" ht="15">
      <c r="A219" t="s">
        <v>19</v>
      </c>
      <c r="B219" t="s">
        <v>20</v>
      </c>
      <c r="C219" t="str">
        <f t="shared" si="3"/>
        <v>31-Dec-21</v>
      </c>
      <c r="D219" t="s">
        <v>21</v>
      </c>
      <c r="E219" t="s">
        <v>28</v>
      </c>
      <c r="F219" t="str">
        <f>"6499550"</f>
        <v>6499550</v>
      </c>
      <c r="G219" t="s">
        <v>245</v>
      </c>
      <c r="I219" t="s">
        <v>30</v>
      </c>
      <c r="J219">
        <v>0.007636254</v>
      </c>
      <c r="K219">
        <v>11900</v>
      </c>
      <c r="L219">
        <v>15656466.97</v>
      </c>
      <c r="M219">
        <v>123661.89</v>
      </c>
      <c r="N219">
        <v>3135</v>
      </c>
      <c r="O219">
        <v>37306500</v>
      </c>
      <c r="P219">
        <v>284881.9</v>
      </c>
      <c r="Q219">
        <v>232645</v>
      </c>
      <c r="R219">
        <v>1776.53</v>
      </c>
      <c r="S219">
        <v>0.158</v>
      </c>
      <c r="T219" t="s">
        <v>31</v>
      </c>
    </row>
    <row r="220" spans="1:20" ht="15">
      <c r="A220" t="s">
        <v>19</v>
      </c>
      <c r="B220" t="s">
        <v>20</v>
      </c>
      <c r="C220" t="str">
        <f t="shared" si="3"/>
        <v>31-Dec-21</v>
      </c>
      <c r="D220" t="s">
        <v>21</v>
      </c>
      <c r="E220" t="s">
        <v>28</v>
      </c>
      <c r="F220" t="str">
        <f>"6499969"</f>
        <v>6499969</v>
      </c>
      <c r="G220" t="s">
        <v>246</v>
      </c>
      <c r="I220" t="s">
        <v>30</v>
      </c>
      <c r="J220">
        <v>0.007636254</v>
      </c>
      <c r="K220">
        <v>2200</v>
      </c>
      <c r="L220">
        <v>7796497.39</v>
      </c>
      <c r="M220">
        <v>66751.97</v>
      </c>
      <c r="N220">
        <v>3550</v>
      </c>
      <c r="O220">
        <v>7810000</v>
      </c>
      <c r="P220">
        <v>59639.14</v>
      </c>
      <c r="Q220">
        <v>0</v>
      </c>
      <c r="R220">
        <v>0</v>
      </c>
      <c r="S220">
        <v>0.033</v>
      </c>
      <c r="T220" t="s">
        <v>31</v>
      </c>
    </row>
    <row r="221" spans="1:20" ht="15">
      <c r="A221" t="s">
        <v>19</v>
      </c>
      <c r="B221" t="s">
        <v>20</v>
      </c>
      <c r="C221" t="str">
        <f t="shared" si="3"/>
        <v>31-Dec-21</v>
      </c>
      <c r="D221" t="s">
        <v>21</v>
      </c>
      <c r="E221" t="s">
        <v>28</v>
      </c>
      <c r="F221" t="str">
        <f>"6499806"</f>
        <v>6499806</v>
      </c>
      <c r="G221" t="s">
        <v>247</v>
      </c>
      <c r="I221" t="s">
        <v>30</v>
      </c>
      <c r="J221">
        <v>0.007636254</v>
      </c>
      <c r="K221">
        <v>18800</v>
      </c>
      <c r="L221">
        <v>29993526.29</v>
      </c>
      <c r="M221">
        <v>224930.38</v>
      </c>
      <c r="N221">
        <v>857</v>
      </c>
      <c r="O221">
        <v>16111600</v>
      </c>
      <c r="P221">
        <v>123032.27</v>
      </c>
      <c r="Q221">
        <v>0</v>
      </c>
      <c r="R221">
        <v>0</v>
      </c>
      <c r="S221">
        <v>0.068</v>
      </c>
      <c r="T221" t="s">
        <v>31</v>
      </c>
    </row>
    <row r="222" spans="1:20" ht="15">
      <c r="A222" t="s">
        <v>19</v>
      </c>
      <c r="B222" t="s">
        <v>20</v>
      </c>
      <c r="C222" t="str">
        <f t="shared" si="3"/>
        <v>31-Dec-21</v>
      </c>
      <c r="D222" t="s">
        <v>21</v>
      </c>
      <c r="E222" t="s">
        <v>28</v>
      </c>
      <c r="F222" t="str">
        <f>"BYZ5XN1"</f>
        <v>BYZ5XN1</v>
      </c>
      <c r="G222" t="s">
        <v>248</v>
      </c>
      <c r="I222" t="s">
        <v>30</v>
      </c>
      <c r="J222">
        <v>0.007636254</v>
      </c>
      <c r="K222">
        <v>19200</v>
      </c>
      <c r="L222">
        <v>12347571.49</v>
      </c>
      <c r="M222">
        <v>91785.76</v>
      </c>
      <c r="N222">
        <v>418</v>
      </c>
      <c r="O222">
        <v>8025600</v>
      </c>
      <c r="P222">
        <v>61285.52</v>
      </c>
      <c r="Q222">
        <v>0</v>
      </c>
      <c r="R222">
        <v>0</v>
      </c>
      <c r="S222">
        <v>0.034</v>
      </c>
      <c r="T222" t="s">
        <v>31</v>
      </c>
    </row>
    <row r="223" spans="1:20" ht="15">
      <c r="A223" t="s">
        <v>19</v>
      </c>
      <c r="B223" t="s">
        <v>20</v>
      </c>
      <c r="C223" t="str">
        <f t="shared" si="3"/>
        <v>31-Dec-21</v>
      </c>
      <c r="D223" t="s">
        <v>21</v>
      </c>
      <c r="E223" t="s">
        <v>28</v>
      </c>
      <c r="F223" t="str">
        <f>"BD2BST6"</f>
        <v>BD2BST6</v>
      </c>
      <c r="G223" t="s">
        <v>249</v>
      </c>
      <c r="I223" t="s">
        <v>30</v>
      </c>
      <c r="J223">
        <v>0.007636254</v>
      </c>
      <c r="K223">
        <v>7600</v>
      </c>
      <c r="L223">
        <v>24585834.19</v>
      </c>
      <c r="M223">
        <v>208208.57</v>
      </c>
      <c r="N223">
        <v>2392</v>
      </c>
      <c r="O223">
        <v>18179200</v>
      </c>
      <c r="P223">
        <v>138820.98</v>
      </c>
      <c r="Q223">
        <v>0</v>
      </c>
      <c r="R223">
        <v>0</v>
      </c>
      <c r="S223">
        <v>0.077</v>
      </c>
      <c r="T223" t="s">
        <v>31</v>
      </c>
    </row>
    <row r="224" spans="1:20" ht="15">
      <c r="A224" t="s">
        <v>19</v>
      </c>
      <c r="B224" t="s">
        <v>20</v>
      </c>
      <c r="C224" t="str">
        <f t="shared" si="3"/>
        <v>31-Dec-21</v>
      </c>
      <c r="D224" t="s">
        <v>21</v>
      </c>
      <c r="E224" t="s">
        <v>28</v>
      </c>
      <c r="F224" t="str">
        <f>"BDD1L29"</f>
        <v>BDD1L29</v>
      </c>
      <c r="G224" t="s">
        <v>250</v>
      </c>
      <c r="I224" t="s">
        <v>30</v>
      </c>
      <c r="J224">
        <v>0.007636254</v>
      </c>
      <c r="K224">
        <v>79</v>
      </c>
      <c r="L224">
        <v>13232028.7</v>
      </c>
      <c r="M224">
        <v>103266.78</v>
      </c>
      <c r="N224">
        <v>202600</v>
      </c>
      <c r="O224">
        <v>16005400</v>
      </c>
      <c r="P224">
        <v>122221.3</v>
      </c>
      <c r="Q224">
        <v>0</v>
      </c>
      <c r="R224">
        <v>0</v>
      </c>
      <c r="S224">
        <v>0.067</v>
      </c>
      <c r="T224" t="s">
        <v>31</v>
      </c>
    </row>
    <row r="225" spans="1:20" ht="15">
      <c r="A225" t="s">
        <v>19</v>
      </c>
      <c r="B225" t="s">
        <v>20</v>
      </c>
      <c r="C225" t="str">
        <f t="shared" si="3"/>
        <v>31-Dec-21</v>
      </c>
      <c r="D225" t="s">
        <v>21</v>
      </c>
      <c r="E225" t="s">
        <v>28</v>
      </c>
      <c r="F225" t="str">
        <f>"6506267"</f>
        <v>6506267</v>
      </c>
      <c r="G225" t="s">
        <v>251</v>
      </c>
      <c r="I225" t="s">
        <v>30</v>
      </c>
      <c r="J225">
        <v>0.007636254</v>
      </c>
      <c r="K225">
        <v>3500</v>
      </c>
      <c r="L225">
        <v>17320328.38</v>
      </c>
      <c r="M225">
        <v>145280.28</v>
      </c>
      <c r="N225">
        <v>35290</v>
      </c>
      <c r="O225">
        <v>123515000</v>
      </c>
      <c r="P225">
        <v>943191.88</v>
      </c>
      <c r="Q225">
        <v>95200</v>
      </c>
      <c r="R225">
        <v>726.97</v>
      </c>
      <c r="S225">
        <v>0.52</v>
      </c>
      <c r="T225" t="s">
        <v>31</v>
      </c>
    </row>
    <row r="226" spans="1:20" ht="15">
      <c r="A226" t="s">
        <v>19</v>
      </c>
      <c r="B226" t="s">
        <v>20</v>
      </c>
      <c r="C226" t="str">
        <f t="shared" si="3"/>
        <v>31-Dec-21</v>
      </c>
      <c r="D226" t="s">
        <v>21</v>
      </c>
      <c r="E226" t="s">
        <v>28</v>
      </c>
      <c r="F226" t="str">
        <f>"6266914"</f>
        <v>6266914</v>
      </c>
      <c r="G226" t="s">
        <v>252</v>
      </c>
      <c r="I226" t="s">
        <v>30</v>
      </c>
      <c r="J226">
        <v>0.007636254</v>
      </c>
      <c r="K226">
        <v>2400</v>
      </c>
      <c r="L226">
        <v>14584159.21</v>
      </c>
      <c r="M226">
        <v>117555.96</v>
      </c>
      <c r="N226">
        <v>5450</v>
      </c>
      <c r="O226">
        <v>13080000</v>
      </c>
      <c r="P226">
        <v>99882.2</v>
      </c>
      <c r="Q226">
        <v>0</v>
      </c>
      <c r="R226">
        <v>0</v>
      </c>
      <c r="S226">
        <v>0.055</v>
      </c>
      <c r="T226" t="s">
        <v>31</v>
      </c>
    </row>
    <row r="227" spans="1:20" ht="15">
      <c r="A227" t="s">
        <v>19</v>
      </c>
      <c r="B227" t="s">
        <v>20</v>
      </c>
      <c r="C227" t="str">
        <f t="shared" si="3"/>
        <v>31-Dec-21</v>
      </c>
      <c r="D227" t="s">
        <v>21</v>
      </c>
      <c r="E227" t="s">
        <v>28</v>
      </c>
      <c r="F227" t="str">
        <f>"6330080"</f>
        <v>6330080</v>
      </c>
      <c r="G227" t="s">
        <v>253</v>
      </c>
      <c r="I227" t="s">
        <v>30</v>
      </c>
      <c r="J227">
        <v>0.007636254</v>
      </c>
      <c r="K227">
        <v>3100</v>
      </c>
      <c r="L227">
        <v>8082799.12</v>
      </c>
      <c r="M227">
        <v>61564.67</v>
      </c>
      <c r="N227">
        <v>2635</v>
      </c>
      <c r="O227">
        <v>8168500</v>
      </c>
      <c r="P227">
        <v>62376.74</v>
      </c>
      <c r="Q227">
        <v>0</v>
      </c>
      <c r="R227">
        <v>0</v>
      </c>
      <c r="S227">
        <v>0.034</v>
      </c>
      <c r="T227" t="s">
        <v>31</v>
      </c>
    </row>
    <row r="228" spans="1:20" ht="15">
      <c r="A228" t="s">
        <v>19</v>
      </c>
      <c r="B228" t="s">
        <v>20</v>
      </c>
      <c r="C228" t="str">
        <f t="shared" si="3"/>
        <v>31-Dec-21</v>
      </c>
      <c r="D228" t="s">
        <v>21</v>
      </c>
      <c r="E228" t="s">
        <v>28</v>
      </c>
      <c r="F228" t="str">
        <f>"6518808"</f>
        <v>6518808</v>
      </c>
      <c r="G228" t="s">
        <v>254</v>
      </c>
      <c r="I228" t="s">
        <v>30</v>
      </c>
      <c r="J228">
        <v>0.007636254</v>
      </c>
      <c r="K228">
        <v>12000</v>
      </c>
      <c r="L228">
        <v>13871930.77</v>
      </c>
      <c r="M228">
        <v>106781.02</v>
      </c>
      <c r="N228">
        <v>1537</v>
      </c>
      <c r="O228">
        <v>18444000</v>
      </c>
      <c r="P228">
        <v>140843.06</v>
      </c>
      <c r="Q228">
        <v>122400</v>
      </c>
      <c r="R228">
        <v>934.68</v>
      </c>
      <c r="S228">
        <v>0.078</v>
      </c>
      <c r="T228" t="s">
        <v>31</v>
      </c>
    </row>
    <row r="229" spans="1:20" ht="15">
      <c r="A229" t="s">
        <v>19</v>
      </c>
      <c r="B229" t="s">
        <v>20</v>
      </c>
      <c r="C229" t="str">
        <f t="shared" si="3"/>
        <v>31-Dec-21</v>
      </c>
      <c r="D229" t="s">
        <v>21</v>
      </c>
      <c r="E229" t="s">
        <v>28</v>
      </c>
      <c r="F229" t="str">
        <f>"6900212"</f>
        <v>6900212</v>
      </c>
      <c r="G229" t="s">
        <v>255</v>
      </c>
      <c r="I229" t="s">
        <v>30</v>
      </c>
      <c r="J229">
        <v>0.007636254</v>
      </c>
      <c r="K229">
        <v>12472</v>
      </c>
      <c r="L229">
        <v>27618507.12</v>
      </c>
      <c r="M229">
        <v>214065.21</v>
      </c>
      <c r="N229">
        <v>3065</v>
      </c>
      <c r="O229">
        <v>38226680</v>
      </c>
      <c r="P229">
        <v>291908.63</v>
      </c>
      <c r="Q229">
        <v>0</v>
      </c>
      <c r="R229">
        <v>0</v>
      </c>
      <c r="S229">
        <v>0.161</v>
      </c>
      <c r="T229" t="s">
        <v>31</v>
      </c>
    </row>
    <row r="230" spans="1:20" ht="15">
      <c r="A230" t="s">
        <v>19</v>
      </c>
      <c r="B230" t="s">
        <v>20</v>
      </c>
      <c r="C230" t="str">
        <f t="shared" si="3"/>
        <v>31-Dec-21</v>
      </c>
      <c r="D230" t="s">
        <v>21</v>
      </c>
      <c r="E230" t="s">
        <v>28</v>
      </c>
      <c r="F230" t="str">
        <f>"B02K2M3"</f>
        <v>B02K2M3</v>
      </c>
      <c r="G230" t="s">
        <v>256</v>
      </c>
      <c r="I230" t="s">
        <v>30</v>
      </c>
      <c r="J230">
        <v>0.007636254</v>
      </c>
      <c r="K230">
        <v>19400</v>
      </c>
      <c r="L230">
        <v>17114133.89</v>
      </c>
      <c r="M230">
        <v>140261.68</v>
      </c>
      <c r="N230">
        <v>5793</v>
      </c>
      <c r="O230">
        <v>112384200</v>
      </c>
      <c r="P230">
        <v>858194.26</v>
      </c>
      <c r="Q230">
        <v>0</v>
      </c>
      <c r="R230">
        <v>0</v>
      </c>
      <c r="S230">
        <v>0.473</v>
      </c>
      <c r="T230" t="s">
        <v>31</v>
      </c>
    </row>
    <row r="231" spans="1:20" ht="15">
      <c r="A231" t="s">
        <v>19</v>
      </c>
      <c r="B231" t="s">
        <v>20</v>
      </c>
      <c r="C231" t="str">
        <f t="shared" si="3"/>
        <v>31-Dec-21</v>
      </c>
      <c r="D231" t="s">
        <v>21</v>
      </c>
      <c r="E231" t="s">
        <v>28</v>
      </c>
      <c r="F231" t="str">
        <f>"B60DQV3"</f>
        <v>B60DQV3</v>
      </c>
      <c r="G231" t="s">
        <v>257</v>
      </c>
      <c r="I231" t="s">
        <v>30</v>
      </c>
      <c r="J231">
        <v>0.007636254</v>
      </c>
      <c r="K231">
        <v>6400</v>
      </c>
      <c r="L231">
        <v>31185374.58</v>
      </c>
      <c r="M231">
        <v>245260.47</v>
      </c>
      <c r="N231">
        <v>6860</v>
      </c>
      <c r="O231">
        <v>43904000</v>
      </c>
      <c r="P231">
        <v>335262.08</v>
      </c>
      <c r="Q231">
        <v>0</v>
      </c>
      <c r="R231">
        <v>0</v>
      </c>
      <c r="S231">
        <v>0.185</v>
      </c>
      <c r="T231" t="s">
        <v>31</v>
      </c>
    </row>
    <row r="232" spans="1:20" ht="15">
      <c r="A232" t="s">
        <v>19</v>
      </c>
      <c r="B232" t="s">
        <v>20</v>
      </c>
      <c r="C232" t="str">
        <f t="shared" si="3"/>
        <v>31-Dec-21</v>
      </c>
      <c r="D232" t="s">
        <v>21</v>
      </c>
      <c r="E232" t="s">
        <v>28</v>
      </c>
      <c r="F232" t="str">
        <f>"6642406"</f>
        <v>6642406</v>
      </c>
      <c r="G232" t="s">
        <v>258</v>
      </c>
      <c r="I232" t="s">
        <v>30</v>
      </c>
      <c r="J232">
        <v>0.007636254</v>
      </c>
      <c r="K232">
        <v>18300</v>
      </c>
      <c r="L232">
        <v>20712796.62</v>
      </c>
      <c r="M232">
        <v>164154.65</v>
      </c>
      <c r="N232">
        <v>3265</v>
      </c>
      <c r="O232">
        <v>59749500</v>
      </c>
      <c r="P232">
        <v>456262.34</v>
      </c>
      <c r="Q232">
        <v>0</v>
      </c>
      <c r="R232">
        <v>0</v>
      </c>
      <c r="S232">
        <v>0.252</v>
      </c>
      <c r="T232" t="s">
        <v>31</v>
      </c>
    </row>
    <row r="233" spans="1:20" ht="15">
      <c r="A233" t="s">
        <v>19</v>
      </c>
      <c r="B233" t="s">
        <v>20</v>
      </c>
      <c r="C233" t="str">
        <f t="shared" si="3"/>
        <v>31-Dec-21</v>
      </c>
      <c r="D233" t="s">
        <v>21</v>
      </c>
      <c r="E233" t="s">
        <v>28</v>
      </c>
      <c r="F233" t="str">
        <f>"6595179"</f>
        <v>6595179</v>
      </c>
      <c r="G233" t="s">
        <v>259</v>
      </c>
      <c r="I233" t="s">
        <v>30</v>
      </c>
      <c r="J233">
        <v>0.007636254</v>
      </c>
      <c r="K233">
        <v>12900</v>
      </c>
      <c r="L233">
        <v>18088758.63</v>
      </c>
      <c r="M233">
        <v>142638.45</v>
      </c>
      <c r="N233">
        <v>4720</v>
      </c>
      <c r="O233">
        <v>60888000</v>
      </c>
      <c r="P233">
        <v>464956.22</v>
      </c>
      <c r="Q233">
        <v>0</v>
      </c>
      <c r="R233">
        <v>0</v>
      </c>
      <c r="S233">
        <v>0.256</v>
      </c>
      <c r="T233" t="s">
        <v>31</v>
      </c>
    </row>
    <row r="234" spans="1:20" ht="15">
      <c r="A234" t="s">
        <v>19</v>
      </c>
      <c r="B234" t="s">
        <v>20</v>
      </c>
      <c r="C234" t="str">
        <f t="shared" si="3"/>
        <v>31-Dec-21</v>
      </c>
      <c r="D234" t="s">
        <v>21</v>
      </c>
      <c r="E234" t="s">
        <v>28</v>
      </c>
      <c r="F234" t="str">
        <f>"B2Q4CS1"</f>
        <v>B2Q4CS1</v>
      </c>
      <c r="G234" t="s">
        <v>260</v>
      </c>
      <c r="I234" t="s">
        <v>30</v>
      </c>
      <c r="J234">
        <v>0.007636254</v>
      </c>
      <c r="K234">
        <v>22109</v>
      </c>
      <c r="L234">
        <v>61805299.04</v>
      </c>
      <c r="M234">
        <v>480187.44</v>
      </c>
      <c r="N234">
        <v>3549</v>
      </c>
      <c r="O234">
        <v>78464841</v>
      </c>
      <c r="P234">
        <v>599177.43</v>
      </c>
      <c r="Q234">
        <v>0</v>
      </c>
      <c r="R234">
        <v>0</v>
      </c>
      <c r="S234">
        <v>0.33</v>
      </c>
      <c r="T234" t="s">
        <v>31</v>
      </c>
    </row>
    <row r="235" spans="1:20" ht="15">
      <c r="A235" t="s">
        <v>19</v>
      </c>
      <c r="B235" t="s">
        <v>20</v>
      </c>
      <c r="C235" t="str">
        <f t="shared" si="3"/>
        <v>31-Dec-21</v>
      </c>
      <c r="D235" t="s">
        <v>21</v>
      </c>
      <c r="E235" t="s">
        <v>28</v>
      </c>
      <c r="F235" t="str">
        <f>"6551030"</f>
        <v>6551030</v>
      </c>
      <c r="G235" t="s">
        <v>261</v>
      </c>
      <c r="I235" t="s">
        <v>30</v>
      </c>
      <c r="J235">
        <v>0.007636254</v>
      </c>
      <c r="K235">
        <v>2600</v>
      </c>
      <c r="L235">
        <v>9710752.68</v>
      </c>
      <c r="M235">
        <v>75332.18</v>
      </c>
      <c r="N235">
        <v>3800</v>
      </c>
      <c r="O235">
        <v>9880000</v>
      </c>
      <c r="P235">
        <v>75446.19</v>
      </c>
      <c r="Q235">
        <v>128180</v>
      </c>
      <c r="R235">
        <v>978.81</v>
      </c>
      <c r="S235">
        <v>0.042</v>
      </c>
      <c r="T235" t="s">
        <v>31</v>
      </c>
    </row>
    <row r="236" spans="1:20" ht="15">
      <c r="A236" t="s">
        <v>19</v>
      </c>
      <c r="B236" t="s">
        <v>20</v>
      </c>
      <c r="C236" t="str">
        <f t="shared" si="3"/>
        <v>31-Dec-21</v>
      </c>
      <c r="D236" t="s">
        <v>21</v>
      </c>
      <c r="E236" t="s">
        <v>28</v>
      </c>
      <c r="F236" t="str">
        <f>"6555805"</f>
        <v>6555805</v>
      </c>
      <c r="G236" t="s">
        <v>262</v>
      </c>
      <c r="I236" t="s">
        <v>30</v>
      </c>
      <c r="J236">
        <v>0.007636254</v>
      </c>
      <c r="K236">
        <v>11300</v>
      </c>
      <c r="L236">
        <v>28021859.5</v>
      </c>
      <c r="M236">
        <v>219684.74</v>
      </c>
      <c r="N236">
        <v>4883</v>
      </c>
      <c r="O236">
        <v>55177900</v>
      </c>
      <c r="P236">
        <v>421352.44</v>
      </c>
      <c r="Q236">
        <v>0</v>
      </c>
      <c r="R236">
        <v>0</v>
      </c>
      <c r="S236">
        <v>0.232</v>
      </c>
      <c r="T236" t="s">
        <v>31</v>
      </c>
    </row>
    <row r="237" spans="1:20" ht="15">
      <c r="A237" t="s">
        <v>19</v>
      </c>
      <c r="B237" t="s">
        <v>20</v>
      </c>
      <c r="C237" t="str">
        <f t="shared" si="3"/>
        <v>31-Dec-21</v>
      </c>
      <c r="D237" t="s">
        <v>21</v>
      </c>
      <c r="E237" t="s">
        <v>28</v>
      </c>
      <c r="F237" t="str">
        <f>"6354176"</f>
        <v>6354176</v>
      </c>
      <c r="G237" t="s">
        <v>263</v>
      </c>
      <c r="I237" t="s">
        <v>30</v>
      </c>
      <c r="J237">
        <v>0.007636254</v>
      </c>
      <c r="K237">
        <v>2300</v>
      </c>
      <c r="L237">
        <v>6004684.2</v>
      </c>
      <c r="M237">
        <v>50543.17</v>
      </c>
      <c r="N237">
        <v>1595</v>
      </c>
      <c r="O237">
        <v>3668500</v>
      </c>
      <c r="P237">
        <v>28013.6</v>
      </c>
      <c r="Q237">
        <v>0</v>
      </c>
      <c r="R237">
        <v>0</v>
      </c>
      <c r="S237">
        <v>0.015</v>
      </c>
      <c r="T237" t="s">
        <v>31</v>
      </c>
    </row>
    <row r="238" spans="1:20" ht="15">
      <c r="A238" t="s">
        <v>19</v>
      </c>
      <c r="B238" t="s">
        <v>20</v>
      </c>
      <c r="C238" t="str">
        <f t="shared" si="3"/>
        <v>31-Dec-21</v>
      </c>
      <c r="D238" t="s">
        <v>21</v>
      </c>
      <c r="E238" t="s">
        <v>28</v>
      </c>
      <c r="F238" t="str">
        <f>"6569464"</f>
        <v>6569464</v>
      </c>
      <c r="G238" t="s">
        <v>264</v>
      </c>
      <c r="I238" t="s">
        <v>30</v>
      </c>
      <c r="J238">
        <v>0.007636254</v>
      </c>
      <c r="K238">
        <v>74000</v>
      </c>
      <c r="L238">
        <v>50498965.49</v>
      </c>
      <c r="M238">
        <v>392125.84</v>
      </c>
      <c r="N238">
        <v>1119.5</v>
      </c>
      <c r="O238">
        <v>82843000</v>
      </c>
      <c r="P238">
        <v>632610.17</v>
      </c>
      <c r="Q238">
        <v>0</v>
      </c>
      <c r="R238">
        <v>0</v>
      </c>
      <c r="S238">
        <v>0.349</v>
      </c>
      <c r="T238" t="s">
        <v>31</v>
      </c>
    </row>
    <row r="239" spans="1:20" ht="15">
      <c r="A239" t="s">
        <v>19</v>
      </c>
      <c r="B239" t="s">
        <v>20</v>
      </c>
      <c r="C239" t="str">
        <f t="shared" si="3"/>
        <v>31-Dec-21</v>
      </c>
      <c r="D239" t="s">
        <v>21</v>
      </c>
      <c r="E239" t="s">
        <v>28</v>
      </c>
      <c r="F239" t="str">
        <f>"6569527"</f>
        <v>6569527</v>
      </c>
      <c r="G239" t="s">
        <v>265</v>
      </c>
      <c r="I239" t="s">
        <v>30</v>
      </c>
      <c r="J239">
        <v>0.007636254</v>
      </c>
      <c r="K239">
        <v>9103</v>
      </c>
      <c r="L239">
        <v>11067052.62</v>
      </c>
      <c r="M239">
        <v>86488.69</v>
      </c>
      <c r="N239">
        <v>2165</v>
      </c>
      <c r="O239">
        <v>19707995</v>
      </c>
      <c r="P239">
        <v>150495.25</v>
      </c>
      <c r="Q239">
        <v>0</v>
      </c>
      <c r="R239">
        <v>0</v>
      </c>
      <c r="S239">
        <v>0.083</v>
      </c>
      <c r="T239" t="s">
        <v>31</v>
      </c>
    </row>
    <row r="240" spans="1:20" ht="15">
      <c r="A240" t="s">
        <v>19</v>
      </c>
      <c r="B240" t="s">
        <v>20</v>
      </c>
      <c r="C240" t="str">
        <f t="shared" si="3"/>
        <v>31-Dec-21</v>
      </c>
      <c r="D240" t="s">
        <v>21</v>
      </c>
      <c r="E240" t="s">
        <v>28</v>
      </c>
      <c r="F240" t="str">
        <f>"6569505"</f>
        <v>6569505</v>
      </c>
      <c r="G240" t="s">
        <v>266</v>
      </c>
      <c r="I240" t="s">
        <v>30</v>
      </c>
      <c r="J240">
        <v>0.007636254</v>
      </c>
      <c r="K240">
        <v>2800</v>
      </c>
      <c r="L240">
        <v>7442594.8</v>
      </c>
      <c r="M240">
        <v>57018.72</v>
      </c>
      <c r="N240">
        <v>2547</v>
      </c>
      <c r="O240">
        <v>7131600</v>
      </c>
      <c r="P240">
        <v>54458.71</v>
      </c>
      <c r="Q240">
        <v>0</v>
      </c>
      <c r="R240">
        <v>0</v>
      </c>
      <c r="S240">
        <v>0.03</v>
      </c>
      <c r="T240" t="s">
        <v>31</v>
      </c>
    </row>
    <row r="241" spans="1:20" ht="15">
      <c r="A241" t="s">
        <v>19</v>
      </c>
      <c r="B241" t="s">
        <v>20</v>
      </c>
      <c r="C241" t="str">
        <f t="shared" si="3"/>
        <v>31-Dec-21</v>
      </c>
      <c r="D241" t="s">
        <v>21</v>
      </c>
      <c r="E241" t="s">
        <v>28</v>
      </c>
      <c r="F241" t="str">
        <f>"6373892"</f>
        <v>6373892</v>
      </c>
      <c r="G241" t="s">
        <v>267</v>
      </c>
      <c r="I241" t="s">
        <v>30</v>
      </c>
      <c r="J241">
        <v>0.007636254</v>
      </c>
      <c r="K241">
        <v>5400</v>
      </c>
      <c r="L241">
        <v>4611284.8</v>
      </c>
      <c r="M241">
        <v>36009.61</v>
      </c>
      <c r="N241">
        <v>791</v>
      </c>
      <c r="O241">
        <v>4271400</v>
      </c>
      <c r="P241">
        <v>32617.49</v>
      </c>
      <c r="Q241">
        <v>0</v>
      </c>
      <c r="R241">
        <v>0</v>
      </c>
      <c r="S241">
        <v>0.018</v>
      </c>
      <c r="T241" t="s">
        <v>31</v>
      </c>
    </row>
    <row r="242" spans="1:20" ht="15">
      <c r="A242" t="s">
        <v>19</v>
      </c>
      <c r="B242" t="s">
        <v>20</v>
      </c>
      <c r="C242" t="str">
        <f t="shared" si="3"/>
        <v>31-Dec-21</v>
      </c>
      <c r="D242" t="s">
        <v>21</v>
      </c>
      <c r="E242" t="s">
        <v>28</v>
      </c>
      <c r="F242" t="str">
        <f>"B249GC0"</f>
        <v>B249GC0</v>
      </c>
      <c r="G242" t="s">
        <v>268</v>
      </c>
      <c r="I242" t="s">
        <v>30</v>
      </c>
      <c r="J242">
        <v>0.007636254</v>
      </c>
      <c r="K242">
        <v>5000</v>
      </c>
      <c r="L242">
        <v>11268310.87</v>
      </c>
      <c r="M242">
        <v>90741.22</v>
      </c>
      <c r="N242">
        <v>4260</v>
      </c>
      <c r="O242">
        <v>21300000</v>
      </c>
      <c r="P242">
        <v>162652.2</v>
      </c>
      <c r="Q242">
        <v>0</v>
      </c>
      <c r="R242">
        <v>0</v>
      </c>
      <c r="S242">
        <v>0.09</v>
      </c>
      <c r="T242" t="s">
        <v>31</v>
      </c>
    </row>
    <row r="243" spans="1:20" ht="15">
      <c r="A243" t="s">
        <v>19</v>
      </c>
      <c r="B243" t="s">
        <v>20</v>
      </c>
      <c r="C243" t="str">
        <f t="shared" si="3"/>
        <v>31-Dec-21</v>
      </c>
      <c r="D243" t="s">
        <v>21</v>
      </c>
      <c r="E243" t="s">
        <v>28</v>
      </c>
      <c r="F243" t="str">
        <f>"6900308"</f>
        <v>6900308</v>
      </c>
      <c r="G243" t="s">
        <v>269</v>
      </c>
      <c r="I243" t="s">
        <v>30</v>
      </c>
      <c r="J243">
        <v>0.007636254</v>
      </c>
      <c r="K243">
        <v>27600</v>
      </c>
      <c r="L243">
        <v>37574239.86</v>
      </c>
      <c r="M243">
        <v>294893.29</v>
      </c>
      <c r="N243">
        <v>885</v>
      </c>
      <c r="O243">
        <v>24426000</v>
      </c>
      <c r="P243">
        <v>186523.13</v>
      </c>
      <c r="Q243">
        <v>0</v>
      </c>
      <c r="R243">
        <v>0</v>
      </c>
      <c r="S243">
        <v>0.103</v>
      </c>
      <c r="T243" t="s">
        <v>31</v>
      </c>
    </row>
    <row r="244" spans="1:20" ht="15">
      <c r="A244" t="s">
        <v>19</v>
      </c>
      <c r="B244" t="s">
        <v>20</v>
      </c>
      <c r="C244" t="str">
        <f t="shared" si="3"/>
        <v>31-Dec-21</v>
      </c>
      <c r="D244" t="s">
        <v>21</v>
      </c>
      <c r="E244" t="s">
        <v>28</v>
      </c>
      <c r="F244" t="str">
        <f>"BH0VTS2"</f>
        <v>BH0VTS2</v>
      </c>
      <c r="G244" t="s">
        <v>270</v>
      </c>
      <c r="I244" t="s">
        <v>30</v>
      </c>
      <c r="J244">
        <v>0.007636254</v>
      </c>
      <c r="K244">
        <v>45200</v>
      </c>
      <c r="L244">
        <v>19254912.46</v>
      </c>
      <c r="M244">
        <v>158600.03</v>
      </c>
      <c r="N244">
        <v>237</v>
      </c>
      <c r="O244">
        <v>10712400</v>
      </c>
      <c r="P244">
        <v>81802.6</v>
      </c>
      <c r="Q244">
        <v>0</v>
      </c>
      <c r="R244">
        <v>0</v>
      </c>
      <c r="S244">
        <v>0.045</v>
      </c>
      <c r="T244" t="s">
        <v>31</v>
      </c>
    </row>
    <row r="245" spans="1:20" ht="15">
      <c r="A245" t="s">
        <v>19</v>
      </c>
      <c r="B245" t="s">
        <v>20</v>
      </c>
      <c r="C245" t="str">
        <f t="shared" si="3"/>
        <v>31-Dec-21</v>
      </c>
      <c r="D245" t="s">
        <v>21</v>
      </c>
      <c r="E245" t="s">
        <v>28</v>
      </c>
      <c r="F245" t="str">
        <f>"6782090"</f>
        <v>6782090</v>
      </c>
      <c r="G245" t="s">
        <v>271</v>
      </c>
      <c r="I245" t="s">
        <v>30</v>
      </c>
      <c r="J245">
        <v>0.007636254</v>
      </c>
      <c r="K245">
        <v>7500</v>
      </c>
      <c r="L245">
        <v>13797289.37</v>
      </c>
      <c r="M245">
        <v>110098.88</v>
      </c>
      <c r="N245">
        <v>2155</v>
      </c>
      <c r="O245">
        <v>16162500</v>
      </c>
      <c r="P245">
        <v>123420.95</v>
      </c>
      <c r="Q245">
        <v>0</v>
      </c>
      <c r="R245">
        <v>0</v>
      </c>
      <c r="S245">
        <v>0.068</v>
      </c>
      <c r="T245" t="s">
        <v>31</v>
      </c>
    </row>
    <row r="246" spans="1:20" ht="15">
      <c r="A246" t="s">
        <v>19</v>
      </c>
      <c r="B246" t="s">
        <v>20</v>
      </c>
      <c r="C246" t="str">
        <f t="shared" si="3"/>
        <v>31-Dec-21</v>
      </c>
      <c r="D246" t="s">
        <v>21</v>
      </c>
      <c r="E246" t="s">
        <v>28</v>
      </c>
      <c r="F246" t="str">
        <f>"BYL7K85"</f>
        <v>BYL7K85</v>
      </c>
      <c r="G246" t="s">
        <v>272</v>
      </c>
      <c r="I246" t="s">
        <v>30</v>
      </c>
      <c r="J246">
        <v>0.007636254</v>
      </c>
      <c r="K246">
        <v>2100</v>
      </c>
      <c r="L246">
        <v>9969650.65</v>
      </c>
      <c r="M246">
        <v>77241.13</v>
      </c>
      <c r="N246">
        <v>3400</v>
      </c>
      <c r="O246">
        <v>7140000</v>
      </c>
      <c r="P246">
        <v>54522.85</v>
      </c>
      <c r="Q246">
        <v>0</v>
      </c>
      <c r="R246">
        <v>0</v>
      </c>
      <c r="S246">
        <v>0.03</v>
      </c>
      <c r="T246" t="s">
        <v>31</v>
      </c>
    </row>
    <row r="247" spans="1:20" ht="15">
      <c r="A247" t="s">
        <v>19</v>
      </c>
      <c r="B247" t="s">
        <v>20</v>
      </c>
      <c r="C247" t="str">
        <f t="shared" si="3"/>
        <v>31-Dec-21</v>
      </c>
      <c r="D247" t="s">
        <v>21</v>
      </c>
      <c r="E247" t="s">
        <v>28</v>
      </c>
      <c r="F247" t="str">
        <f>"B0JQTJ0"</f>
        <v>B0JQTJ0</v>
      </c>
      <c r="G247" t="s">
        <v>273</v>
      </c>
      <c r="I247" t="s">
        <v>30</v>
      </c>
      <c r="J247">
        <v>0.007636254</v>
      </c>
      <c r="K247">
        <v>58630</v>
      </c>
      <c r="L247">
        <v>36918902.25</v>
      </c>
      <c r="M247">
        <v>284437.54</v>
      </c>
      <c r="N247">
        <v>852</v>
      </c>
      <c r="O247">
        <v>49952760</v>
      </c>
      <c r="P247">
        <v>381451.95</v>
      </c>
      <c r="Q247">
        <v>0</v>
      </c>
      <c r="R247">
        <v>0</v>
      </c>
      <c r="S247">
        <v>0.21</v>
      </c>
      <c r="T247" t="s">
        <v>31</v>
      </c>
    </row>
    <row r="248" spans="1:20" ht="15">
      <c r="A248" t="s">
        <v>19</v>
      </c>
      <c r="B248" t="s">
        <v>20</v>
      </c>
      <c r="C248" t="str">
        <f t="shared" si="3"/>
        <v>31-Dec-21</v>
      </c>
      <c r="D248" t="s">
        <v>21</v>
      </c>
      <c r="E248" t="s">
        <v>28</v>
      </c>
      <c r="F248" t="str">
        <f>"6596785"</f>
        <v>6596785</v>
      </c>
      <c r="G248" t="s">
        <v>274</v>
      </c>
      <c r="I248" t="s">
        <v>30</v>
      </c>
      <c r="J248">
        <v>0.007636254</v>
      </c>
      <c r="K248">
        <v>55400</v>
      </c>
      <c r="L248">
        <v>118975634.08</v>
      </c>
      <c r="M248">
        <v>930590.54</v>
      </c>
      <c r="N248">
        <v>3652</v>
      </c>
      <c r="O248">
        <v>202320800</v>
      </c>
      <c r="P248">
        <v>1544972.96</v>
      </c>
      <c r="Q248">
        <v>0</v>
      </c>
      <c r="R248">
        <v>0</v>
      </c>
      <c r="S248">
        <v>0.852</v>
      </c>
      <c r="T248" t="s">
        <v>31</v>
      </c>
    </row>
    <row r="249" spans="1:20" ht="15">
      <c r="A249" t="s">
        <v>19</v>
      </c>
      <c r="B249" t="s">
        <v>20</v>
      </c>
      <c r="C249" t="str">
        <f t="shared" si="3"/>
        <v>31-Dec-21</v>
      </c>
      <c r="D249" t="s">
        <v>21</v>
      </c>
      <c r="E249" t="s">
        <v>28</v>
      </c>
      <c r="F249" t="str">
        <f>"6597045"</f>
        <v>6597045</v>
      </c>
      <c r="G249" t="s">
        <v>275</v>
      </c>
      <c r="I249" t="s">
        <v>30</v>
      </c>
      <c r="J249">
        <v>0.007636254</v>
      </c>
      <c r="K249">
        <v>92300</v>
      </c>
      <c r="L249">
        <v>104130730.48</v>
      </c>
      <c r="M249">
        <v>816046.18</v>
      </c>
      <c r="N249">
        <v>1458.5</v>
      </c>
      <c r="O249">
        <v>134619550</v>
      </c>
      <c r="P249">
        <v>1027989.04</v>
      </c>
      <c r="Q249">
        <v>0</v>
      </c>
      <c r="R249">
        <v>0</v>
      </c>
      <c r="S249">
        <v>0.567</v>
      </c>
      <c r="T249" t="s">
        <v>31</v>
      </c>
    </row>
    <row r="250" spans="1:20" ht="15">
      <c r="A250" t="s">
        <v>19</v>
      </c>
      <c r="B250" t="s">
        <v>20</v>
      </c>
      <c r="C250" t="str">
        <f t="shared" si="3"/>
        <v>31-Dec-21</v>
      </c>
      <c r="D250" t="s">
        <v>21</v>
      </c>
      <c r="E250" t="s">
        <v>28</v>
      </c>
      <c r="F250" t="str">
        <f>"6596729"</f>
        <v>6596729</v>
      </c>
      <c r="G250" t="s">
        <v>276</v>
      </c>
      <c r="I250" t="s">
        <v>30</v>
      </c>
      <c r="J250">
        <v>0.007636254</v>
      </c>
      <c r="K250">
        <v>52900</v>
      </c>
      <c r="L250">
        <v>118885830</v>
      </c>
      <c r="M250">
        <v>914717.12</v>
      </c>
      <c r="N250">
        <v>1594.5</v>
      </c>
      <c r="O250">
        <v>84349050</v>
      </c>
      <c r="P250">
        <v>644110.75</v>
      </c>
      <c r="Q250">
        <v>0</v>
      </c>
      <c r="R250">
        <v>0</v>
      </c>
      <c r="S250">
        <v>0.355</v>
      </c>
      <c r="T250" t="s">
        <v>31</v>
      </c>
    </row>
    <row r="251" spans="1:20" ht="15">
      <c r="A251" t="s">
        <v>19</v>
      </c>
      <c r="B251" t="s">
        <v>20</v>
      </c>
      <c r="C251" t="str">
        <f t="shared" si="3"/>
        <v>31-Dec-21</v>
      </c>
      <c r="D251" t="s">
        <v>21</v>
      </c>
      <c r="E251" t="s">
        <v>28</v>
      </c>
      <c r="F251" t="str">
        <f>"6596923"</f>
        <v>6596923</v>
      </c>
      <c r="G251" t="s">
        <v>277</v>
      </c>
      <c r="I251" t="s">
        <v>30</v>
      </c>
      <c r="J251">
        <v>0.007636254</v>
      </c>
      <c r="K251">
        <v>8700</v>
      </c>
      <c r="L251">
        <v>13966333.61</v>
      </c>
      <c r="M251">
        <v>105958.24</v>
      </c>
      <c r="N251">
        <v>1948</v>
      </c>
      <c r="O251">
        <v>16947600</v>
      </c>
      <c r="P251">
        <v>129416.17</v>
      </c>
      <c r="Q251">
        <v>0</v>
      </c>
      <c r="R251">
        <v>0</v>
      </c>
      <c r="S251">
        <v>0.071</v>
      </c>
      <c r="T251" t="s">
        <v>31</v>
      </c>
    </row>
    <row r="252" spans="1:20" ht="15">
      <c r="A252" t="s">
        <v>19</v>
      </c>
      <c r="B252" t="s">
        <v>20</v>
      </c>
      <c r="C252" t="str">
        <f t="shared" si="3"/>
        <v>31-Dec-21</v>
      </c>
      <c r="D252" t="s">
        <v>21</v>
      </c>
      <c r="E252" t="s">
        <v>28</v>
      </c>
      <c r="F252" t="str">
        <f>"6268976"</f>
        <v>6268976</v>
      </c>
      <c r="G252" t="s">
        <v>278</v>
      </c>
      <c r="I252" t="s">
        <v>30</v>
      </c>
      <c r="J252">
        <v>0.007636254</v>
      </c>
      <c r="K252">
        <v>26700</v>
      </c>
      <c r="L252">
        <v>11986277.86</v>
      </c>
      <c r="M252">
        <v>88899.48</v>
      </c>
      <c r="N252">
        <v>569</v>
      </c>
      <c r="O252">
        <v>15192300</v>
      </c>
      <c r="P252">
        <v>116012.26</v>
      </c>
      <c r="Q252">
        <v>0</v>
      </c>
      <c r="R252">
        <v>0</v>
      </c>
      <c r="S252">
        <v>0.064</v>
      </c>
      <c r="T252" t="s">
        <v>31</v>
      </c>
    </row>
    <row r="253" spans="1:20" ht="15">
      <c r="A253" t="s">
        <v>19</v>
      </c>
      <c r="B253" t="s">
        <v>20</v>
      </c>
      <c r="C253" t="str">
        <f t="shared" si="3"/>
        <v>31-Dec-21</v>
      </c>
      <c r="D253" t="s">
        <v>21</v>
      </c>
      <c r="E253" t="s">
        <v>28</v>
      </c>
      <c r="F253" t="str">
        <f>"6597067"</f>
        <v>6597067</v>
      </c>
      <c r="G253" t="s">
        <v>279</v>
      </c>
      <c r="I253" t="s">
        <v>30</v>
      </c>
      <c r="J253">
        <v>0.007636254</v>
      </c>
      <c r="K253">
        <v>13599</v>
      </c>
      <c r="L253">
        <v>63913918.92</v>
      </c>
      <c r="M253">
        <v>494016.54</v>
      </c>
      <c r="N253">
        <v>2659</v>
      </c>
      <c r="O253">
        <v>36159741</v>
      </c>
      <c r="P253">
        <v>276124.96</v>
      </c>
      <c r="Q253">
        <v>0</v>
      </c>
      <c r="R253">
        <v>0</v>
      </c>
      <c r="S253">
        <v>0.152</v>
      </c>
      <c r="T253" t="s">
        <v>31</v>
      </c>
    </row>
    <row r="254" spans="1:20" ht="15">
      <c r="A254" t="s">
        <v>19</v>
      </c>
      <c r="B254" t="s">
        <v>20</v>
      </c>
      <c r="C254" t="str">
        <f t="shared" si="3"/>
        <v>31-Dec-21</v>
      </c>
      <c r="D254" t="s">
        <v>21</v>
      </c>
      <c r="E254" t="s">
        <v>28</v>
      </c>
      <c r="F254" t="str">
        <f>"6596848"</f>
        <v>6596848</v>
      </c>
      <c r="G254" t="s">
        <v>280</v>
      </c>
      <c r="I254" t="s">
        <v>30</v>
      </c>
      <c r="J254">
        <v>0.007636254</v>
      </c>
      <c r="K254">
        <v>2950</v>
      </c>
      <c r="L254">
        <v>8474682.1</v>
      </c>
      <c r="M254">
        <v>63606.11</v>
      </c>
      <c r="N254">
        <v>2885</v>
      </c>
      <c r="O254">
        <v>8510750</v>
      </c>
      <c r="P254">
        <v>64990.25</v>
      </c>
      <c r="Q254">
        <v>0</v>
      </c>
      <c r="R254">
        <v>0</v>
      </c>
      <c r="S254">
        <v>0.036</v>
      </c>
      <c r="T254" t="s">
        <v>31</v>
      </c>
    </row>
    <row r="255" spans="1:20" ht="15">
      <c r="A255" t="s">
        <v>19</v>
      </c>
      <c r="B255" t="s">
        <v>20</v>
      </c>
      <c r="C255" t="str">
        <f t="shared" si="3"/>
        <v>31-Dec-21</v>
      </c>
      <c r="D255" t="s">
        <v>21</v>
      </c>
      <c r="E255" t="s">
        <v>28</v>
      </c>
      <c r="F255" t="str">
        <f>"6597089"</f>
        <v>6597089</v>
      </c>
      <c r="G255" t="s">
        <v>281</v>
      </c>
      <c r="I255" t="s">
        <v>30</v>
      </c>
      <c r="J255">
        <v>0.007636254</v>
      </c>
      <c r="K255">
        <v>6400</v>
      </c>
      <c r="L255">
        <v>22601360.76</v>
      </c>
      <c r="M255">
        <v>172489.55</v>
      </c>
      <c r="N255">
        <v>1975</v>
      </c>
      <c r="O255">
        <v>12640000</v>
      </c>
      <c r="P255">
        <v>96522.25</v>
      </c>
      <c r="Q255">
        <v>0</v>
      </c>
      <c r="R255">
        <v>0</v>
      </c>
      <c r="S255">
        <v>0.053</v>
      </c>
      <c r="T255" t="s">
        <v>31</v>
      </c>
    </row>
    <row r="256" spans="1:20" ht="15">
      <c r="A256" t="s">
        <v>19</v>
      </c>
      <c r="B256" t="s">
        <v>20</v>
      </c>
      <c r="C256" t="str">
        <f t="shared" si="3"/>
        <v>31-Dec-21</v>
      </c>
      <c r="D256" t="s">
        <v>21</v>
      </c>
      <c r="E256" t="s">
        <v>28</v>
      </c>
      <c r="F256" t="str">
        <f>"6598446"</f>
        <v>6598446</v>
      </c>
      <c r="G256" t="s">
        <v>282</v>
      </c>
      <c r="I256" t="s">
        <v>30</v>
      </c>
      <c r="J256">
        <v>0.007636254</v>
      </c>
      <c r="K256">
        <v>31000</v>
      </c>
      <c r="L256">
        <v>33026073.84</v>
      </c>
      <c r="M256">
        <v>247369.32</v>
      </c>
      <c r="N256">
        <v>321</v>
      </c>
      <c r="O256">
        <v>9951000</v>
      </c>
      <c r="P256">
        <v>75988.36</v>
      </c>
      <c r="Q256">
        <v>0</v>
      </c>
      <c r="R256">
        <v>0</v>
      </c>
      <c r="S256">
        <v>0.042</v>
      </c>
      <c r="T256" t="s">
        <v>31</v>
      </c>
    </row>
    <row r="257" spans="1:20" ht="15">
      <c r="A257" t="s">
        <v>19</v>
      </c>
      <c r="B257" t="s">
        <v>20</v>
      </c>
      <c r="C257" t="str">
        <f t="shared" si="3"/>
        <v>31-Dec-21</v>
      </c>
      <c r="D257" t="s">
        <v>21</v>
      </c>
      <c r="E257" t="s">
        <v>28</v>
      </c>
      <c r="F257" t="str">
        <f>"6335171"</f>
        <v>6335171</v>
      </c>
      <c r="G257" t="s">
        <v>283</v>
      </c>
      <c r="I257" t="s">
        <v>30</v>
      </c>
      <c r="J257">
        <v>0.007636254</v>
      </c>
      <c r="K257">
        <v>575612</v>
      </c>
      <c r="L257">
        <v>390790466.01</v>
      </c>
      <c r="M257">
        <v>2967824.38</v>
      </c>
      <c r="N257">
        <v>624.9</v>
      </c>
      <c r="O257">
        <v>359699938.8</v>
      </c>
      <c r="P257">
        <v>2746759.99</v>
      </c>
      <c r="Q257">
        <v>0</v>
      </c>
      <c r="R257">
        <v>0</v>
      </c>
      <c r="S257">
        <v>1.514</v>
      </c>
      <c r="T257" t="s">
        <v>31</v>
      </c>
    </row>
    <row r="258" spans="1:20" ht="15">
      <c r="A258" t="s">
        <v>19</v>
      </c>
      <c r="B258" t="s">
        <v>20</v>
      </c>
      <c r="C258" t="str">
        <f aca="true" t="shared" si="4" ref="C258:C321">"31-Dec-21"</f>
        <v>31-Dec-21</v>
      </c>
      <c r="D258" t="s">
        <v>21</v>
      </c>
      <c r="E258" t="s">
        <v>28</v>
      </c>
      <c r="F258" t="str">
        <f>"6597302"</f>
        <v>6597302</v>
      </c>
      <c r="G258" t="s">
        <v>284</v>
      </c>
      <c r="I258" t="s">
        <v>30</v>
      </c>
      <c r="J258">
        <v>0.007636254</v>
      </c>
      <c r="K258">
        <v>73900</v>
      </c>
      <c r="L258">
        <v>111985248.93</v>
      </c>
      <c r="M258">
        <v>877842.24</v>
      </c>
      <c r="N258">
        <v>2723.5</v>
      </c>
      <c r="O258">
        <v>201266650</v>
      </c>
      <c r="P258">
        <v>1536923.2</v>
      </c>
      <c r="Q258">
        <v>0</v>
      </c>
      <c r="R258">
        <v>0</v>
      </c>
      <c r="S258">
        <v>0.847</v>
      </c>
      <c r="T258" t="s">
        <v>31</v>
      </c>
    </row>
    <row r="259" spans="1:20" ht="15">
      <c r="A259" t="s">
        <v>19</v>
      </c>
      <c r="B259" t="s">
        <v>20</v>
      </c>
      <c r="C259" t="str">
        <f t="shared" si="4"/>
        <v>31-Dec-21</v>
      </c>
      <c r="D259" t="s">
        <v>21</v>
      </c>
      <c r="E259" t="s">
        <v>28</v>
      </c>
      <c r="F259" t="str">
        <f>"6597368"</f>
        <v>6597368</v>
      </c>
      <c r="G259" t="s">
        <v>285</v>
      </c>
      <c r="I259" t="s">
        <v>30</v>
      </c>
      <c r="J259">
        <v>0.007636254</v>
      </c>
      <c r="K259">
        <v>8200</v>
      </c>
      <c r="L259">
        <v>17328219.21</v>
      </c>
      <c r="M259">
        <v>132289.64</v>
      </c>
      <c r="N259">
        <v>3090</v>
      </c>
      <c r="O259">
        <v>25338000</v>
      </c>
      <c r="P259">
        <v>193487.4</v>
      </c>
      <c r="Q259">
        <v>0</v>
      </c>
      <c r="R259">
        <v>0</v>
      </c>
      <c r="S259">
        <v>0.107</v>
      </c>
      <c r="T259" t="s">
        <v>31</v>
      </c>
    </row>
    <row r="260" spans="1:20" ht="15">
      <c r="A260" t="s">
        <v>19</v>
      </c>
      <c r="B260" t="s">
        <v>20</v>
      </c>
      <c r="C260" t="str">
        <f t="shared" si="4"/>
        <v>31-Dec-21</v>
      </c>
      <c r="D260" t="s">
        <v>21</v>
      </c>
      <c r="E260" t="s">
        <v>28</v>
      </c>
      <c r="F260" t="str">
        <f>"6597603"</f>
        <v>6597603</v>
      </c>
      <c r="G260" t="s">
        <v>286</v>
      </c>
      <c r="I260" t="s">
        <v>30</v>
      </c>
      <c r="J260">
        <v>0.007636254</v>
      </c>
      <c r="K260">
        <v>43400</v>
      </c>
      <c r="L260">
        <v>113259752.98</v>
      </c>
      <c r="M260">
        <v>862327.06</v>
      </c>
      <c r="N260">
        <v>2278.5</v>
      </c>
      <c r="O260">
        <v>98886900</v>
      </c>
      <c r="P260">
        <v>755125.46</v>
      </c>
      <c r="Q260">
        <v>0</v>
      </c>
      <c r="R260">
        <v>0</v>
      </c>
      <c r="S260">
        <v>0.416</v>
      </c>
      <c r="T260" t="s">
        <v>31</v>
      </c>
    </row>
    <row r="261" spans="1:20" ht="15">
      <c r="A261" t="s">
        <v>19</v>
      </c>
      <c r="B261" t="s">
        <v>20</v>
      </c>
      <c r="C261" t="str">
        <f t="shared" si="4"/>
        <v>31-Dec-21</v>
      </c>
      <c r="D261" t="s">
        <v>21</v>
      </c>
      <c r="E261" t="s">
        <v>28</v>
      </c>
      <c r="F261" t="str">
        <f>"BYZWTW3"</f>
        <v>BYZWTW3</v>
      </c>
      <c r="G261" t="s">
        <v>287</v>
      </c>
      <c r="I261" t="s">
        <v>30</v>
      </c>
      <c r="J261">
        <v>0.007636254</v>
      </c>
      <c r="K261">
        <v>23</v>
      </c>
      <c r="L261">
        <v>12485657.97</v>
      </c>
      <c r="M261">
        <v>96103.17</v>
      </c>
      <c r="N261">
        <v>645000</v>
      </c>
      <c r="O261">
        <v>14835000</v>
      </c>
      <c r="P261">
        <v>113283.82</v>
      </c>
      <c r="Q261">
        <v>0</v>
      </c>
      <c r="R261">
        <v>0</v>
      </c>
      <c r="S261">
        <v>0.062</v>
      </c>
      <c r="T261" t="s">
        <v>31</v>
      </c>
    </row>
    <row r="262" spans="1:20" ht="15">
      <c r="A262" t="s">
        <v>19</v>
      </c>
      <c r="B262" t="s">
        <v>20</v>
      </c>
      <c r="C262" t="str">
        <f t="shared" si="4"/>
        <v>31-Dec-21</v>
      </c>
      <c r="D262" t="s">
        <v>21</v>
      </c>
      <c r="E262" t="s">
        <v>28</v>
      </c>
      <c r="F262" t="str">
        <f>"6597346"</f>
        <v>6597346</v>
      </c>
      <c r="G262" t="s">
        <v>288</v>
      </c>
      <c r="I262" t="s">
        <v>30</v>
      </c>
      <c r="J262">
        <v>0.007636254</v>
      </c>
      <c r="K262">
        <v>2600</v>
      </c>
      <c r="L262">
        <v>12026222.33</v>
      </c>
      <c r="M262">
        <v>91936.98</v>
      </c>
      <c r="N262">
        <v>3135</v>
      </c>
      <c r="O262">
        <v>8151000</v>
      </c>
      <c r="P262">
        <v>62243.1</v>
      </c>
      <c r="Q262">
        <v>0</v>
      </c>
      <c r="R262">
        <v>0</v>
      </c>
      <c r="S262">
        <v>0.034</v>
      </c>
      <c r="T262" t="s">
        <v>31</v>
      </c>
    </row>
    <row r="263" spans="1:20" ht="15">
      <c r="A263" t="s">
        <v>19</v>
      </c>
      <c r="B263" t="s">
        <v>20</v>
      </c>
      <c r="C263" t="str">
        <f t="shared" si="4"/>
        <v>31-Dec-21</v>
      </c>
      <c r="D263" t="s">
        <v>21</v>
      </c>
      <c r="E263" t="s">
        <v>28</v>
      </c>
      <c r="F263" t="str">
        <f>"6597584"</f>
        <v>6597584</v>
      </c>
      <c r="G263" t="s">
        <v>289</v>
      </c>
      <c r="I263" t="s">
        <v>30</v>
      </c>
      <c r="J263">
        <v>0.007636254</v>
      </c>
      <c r="K263">
        <v>5300</v>
      </c>
      <c r="L263">
        <v>29362730.89</v>
      </c>
      <c r="M263">
        <v>217188.79</v>
      </c>
      <c r="N263">
        <v>8540</v>
      </c>
      <c r="O263">
        <v>45262000</v>
      </c>
      <c r="P263">
        <v>345632.12</v>
      </c>
      <c r="Q263">
        <v>0</v>
      </c>
      <c r="R263">
        <v>0</v>
      </c>
      <c r="S263">
        <v>0.191</v>
      </c>
      <c r="T263" t="s">
        <v>31</v>
      </c>
    </row>
    <row r="264" spans="1:20" ht="15">
      <c r="A264" t="s">
        <v>19</v>
      </c>
      <c r="B264" t="s">
        <v>20</v>
      </c>
      <c r="C264" t="str">
        <f t="shared" si="4"/>
        <v>31-Dec-21</v>
      </c>
      <c r="D264" t="s">
        <v>21</v>
      </c>
      <c r="E264" t="s">
        <v>28</v>
      </c>
      <c r="F264" t="str">
        <f>"6597777"</f>
        <v>6597777</v>
      </c>
      <c r="G264" t="s">
        <v>290</v>
      </c>
      <c r="I264" t="s">
        <v>30</v>
      </c>
      <c r="J264">
        <v>0.007636254</v>
      </c>
      <c r="K264">
        <v>4400</v>
      </c>
      <c r="L264">
        <v>8931804.09</v>
      </c>
      <c r="M264">
        <v>76982.15</v>
      </c>
      <c r="N264">
        <v>3960</v>
      </c>
      <c r="O264">
        <v>17424000</v>
      </c>
      <c r="P264">
        <v>133054.08</v>
      </c>
      <c r="Q264">
        <v>0</v>
      </c>
      <c r="R264">
        <v>0</v>
      </c>
      <c r="S264">
        <v>0.073</v>
      </c>
      <c r="T264" t="s">
        <v>31</v>
      </c>
    </row>
    <row r="265" spans="1:20" ht="15">
      <c r="A265" t="s">
        <v>19</v>
      </c>
      <c r="B265" t="s">
        <v>20</v>
      </c>
      <c r="C265" t="str">
        <f t="shared" si="4"/>
        <v>31-Dec-21</v>
      </c>
      <c r="D265" t="s">
        <v>21</v>
      </c>
      <c r="E265" t="s">
        <v>28</v>
      </c>
      <c r="F265" t="str">
        <f>"6591014"</f>
        <v>6591014</v>
      </c>
      <c r="G265" t="s">
        <v>291</v>
      </c>
      <c r="I265" t="s">
        <v>30</v>
      </c>
      <c r="J265">
        <v>0.007636254</v>
      </c>
      <c r="K265">
        <v>117285</v>
      </c>
      <c r="L265">
        <v>248668990.72</v>
      </c>
      <c r="M265">
        <v>1918356.76</v>
      </c>
      <c r="N265">
        <v>1463</v>
      </c>
      <c r="O265">
        <v>171587955</v>
      </c>
      <c r="P265">
        <v>1310289.16</v>
      </c>
      <c r="Q265">
        <v>0</v>
      </c>
      <c r="R265">
        <v>0</v>
      </c>
      <c r="S265">
        <v>0.722</v>
      </c>
      <c r="T265" t="s">
        <v>31</v>
      </c>
    </row>
    <row r="266" spans="1:20" ht="15">
      <c r="A266" t="s">
        <v>19</v>
      </c>
      <c r="B266" t="s">
        <v>20</v>
      </c>
      <c r="C266" t="str">
        <f t="shared" si="4"/>
        <v>31-Dec-21</v>
      </c>
      <c r="D266" t="s">
        <v>21</v>
      </c>
      <c r="E266" t="s">
        <v>28</v>
      </c>
      <c r="F266" t="str">
        <f>"B1GHR88"</f>
        <v>B1GHR88</v>
      </c>
      <c r="G266" t="s">
        <v>292</v>
      </c>
      <c r="I266" t="s">
        <v>30</v>
      </c>
      <c r="J266">
        <v>0.007636254</v>
      </c>
      <c r="K266">
        <v>11300</v>
      </c>
      <c r="L266">
        <v>8150906.09</v>
      </c>
      <c r="M266">
        <v>61267.57</v>
      </c>
      <c r="N266">
        <v>2073</v>
      </c>
      <c r="O266">
        <v>23424900</v>
      </c>
      <c r="P266">
        <v>178878.48</v>
      </c>
      <c r="Q266">
        <v>55228.75</v>
      </c>
      <c r="R266">
        <v>421.75</v>
      </c>
      <c r="S266">
        <v>0.099</v>
      </c>
      <c r="T266" t="s">
        <v>31</v>
      </c>
    </row>
    <row r="267" spans="1:20" ht="15">
      <c r="A267" t="s">
        <v>19</v>
      </c>
      <c r="B267" t="s">
        <v>20</v>
      </c>
      <c r="C267" t="str">
        <f t="shared" si="4"/>
        <v>31-Dec-21</v>
      </c>
      <c r="D267" t="s">
        <v>21</v>
      </c>
      <c r="E267" t="s">
        <v>28</v>
      </c>
      <c r="F267" t="str">
        <f>"B1GF9P3"</f>
        <v>B1GF9P3</v>
      </c>
      <c r="G267" t="s">
        <v>293</v>
      </c>
      <c r="I267" t="s">
        <v>30</v>
      </c>
      <c r="J267">
        <v>0.007636254</v>
      </c>
      <c r="K267">
        <v>69</v>
      </c>
      <c r="L267">
        <v>9687041.51</v>
      </c>
      <c r="M267">
        <v>76090.02</v>
      </c>
      <c r="N267">
        <v>156100</v>
      </c>
      <c r="O267">
        <v>10770900</v>
      </c>
      <c r="P267">
        <v>82249.33</v>
      </c>
      <c r="Q267">
        <v>0</v>
      </c>
      <c r="R267">
        <v>0</v>
      </c>
      <c r="S267">
        <v>0.045</v>
      </c>
      <c r="T267" t="s">
        <v>31</v>
      </c>
    </row>
    <row r="268" spans="1:20" ht="15">
      <c r="A268" t="s">
        <v>19</v>
      </c>
      <c r="B268" t="s">
        <v>20</v>
      </c>
      <c r="C268" t="str">
        <f t="shared" si="4"/>
        <v>31-Dec-21</v>
      </c>
      <c r="D268" t="s">
        <v>21</v>
      </c>
      <c r="E268" t="s">
        <v>28</v>
      </c>
      <c r="F268" t="str">
        <f>"6602604"</f>
        <v>6602604</v>
      </c>
      <c r="G268" t="s">
        <v>294</v>
      </c>
      <c r="I268" t="s">
        <v>30</v>
      </c>
      <c r="J268">
        <v>0.007636254</v>
      </c>
      <c r="K268">
        <v>1700</v>
      </c>
      <c r="L268">
        <v>9761624.07</v>
      </c>
      <c r="M268">
        <v>79231.68</v>
      </c>
      <c r="N268">
        <v>3760</v>
      </c>
      <c r="O268">
        <v>6392000</v>
      </c>
      <c r="P268">
        <v>48810.93</v>
      </c>
      <c r="Q268">
        <v>0</v>
      </c>
      <c r="R268">
        <v>0</v>
      </c>
      <c r="S268">
        <v>0.027</v>
      </c>
      <c r="T268" t="s">
        <v>31</v>
      </c>
    </row>
    <row r="269" spans="1:20" ht="15">
      <c r="A269" t="s">
        <v>19</v>
      </c>
      <c r="B269" t="s">
        <v>20</v>
      </c>
      <c r="C269" t="str">
        <f t="shared" si="4"/>
        <v>31-Dec-21</v>
      </c>
      <c r="D269" t="s">
        <v>21</v>
      </c>
      <c r="E269" t="s">
        <v>28</v>
      </c>
      <c r="F269" t="str">
        <f>"6602648"</f>
        <v>6602648</v>
      </c>
      <c r="G269" t="s">
        <v>295</v>
      </c>
      <c r="I269" t="s">
        <v>30</v>
      </c>
      <c r="J269">
        <v>0.007636254</v>
      </c>
      <c r="K269">
        <v>2000</v>
      </c>
      <c r="L269">
        <v>8585125</v>
      </c>
      <c r="M269">
        <v>65892.03</v>
      </c>
      <c r="N269">
        <v>5460</v>
      </c>
      <c r="O269">
        <v>10920000</v>
      </c>
      <c r="P269">
        <v>83387.89</v>
      </c>
      <c r="Q269">
        <v>0</v>
      </c>
      <c r="R269">
        <v>0</v>
      </c>
      <c r="S269">
        <v>0.046</v>
      </c>
      <c r="T269" t="s">
        <v>31</v>
      </c>
    </row>
    <row r="270" spans="1:20" ht="15">
      <c r="A270" t="s">
        <v>19</v>
      </c>
      <c r="B270" t="s">
        <v>20</v>
      </c>
      <c r="C270" t="str">
        <f t="shared" si="4"/>
        <v>31-Dec-21</v>
      </c>
      <c r="D270" t="s">
        <v>21</v>
      </c>
      <c r="E270" t="s">
        <v>28</v>
      </c>
      <c r="F270" t="str">
        <f>"6610403"</f>
        <v>6610403</v>
      </c>
      <c r="G270" t="s">
        <v>296</v>
      </c>
      <c r="I270" t="s">
        <v>30</v>
      </c>
      <c r="J270">
        <v>0.007636254</v>
      </c>
      <c r="K270">
        <v>26500</v>
      </c>
      <c r="L270">
        <v>81996793.36</v>
      </c>
      <c r="M270">
        <v>633606.54</v>
      </c>
      <c r="N270">
        <v>9157</v>
      </c>
      <c r="O270">
        <v>242660500</v>
      </c>
      <c r="P270">
        <v>1853017.14</v>
      </c>
      <c r="Q270">
        <v>0</v>
      </c>
      <c r="R270">
        <v>0</v>
      </c>
      <c r="S270">
        <v>1.022</v>
      </c>
      <c r="T270" t="s">
        <v>31</v>
      </c>
    </row>
    <row r="271" spans="1:20" ht="15">
      <c r="A271" t="s">
        <v>19</v>
      </c>
      <c r="B271" t="s">
        <v>20</v>
      </c>
      <c r="C271" t="str">
        <f t="shared" si="4"/>
        <v>31-Dec-21</v>
      </c>
      <c r="D271" t="s">
        <v>21</v>
      </c>
      <c r="E271" t="s">
        <v>28</v>
      </c>
      <c r="F271" t="str">
        <f>"6640400"</f>
        <v>6640400</v>
      </c>
      <c r="G271" t="s">
        <v>297</v>
      </c>
      <c r="I271" t="s">
        <v>30</v>
      </c>
      <c r="J271">
        <v>0.007636254</v>
      </c>
      <c r="K271">
        <v>12400</v>
      </c>
      <c r="L271">
        <v>38800398.07</v>
      </c>
      <c r="M271">
        <v>299445.86</v>
      </c>
      <c r="N271">
        <v>5310</v>
      </c>
      <c r="O271">
        <v>65844000</v>
      </c>
      <c r="P271">
        <v>502801.49</v>
      </c>
      <c r="Q271">
        <v>0</v>
      </c>
      <c r="R271">
        <v>0</v>
      </c>
      <c r="S271">
        <v>0.277</v>
      </c>
      <c r="T271" t="s">
        <v>31</v>
      </c>
    </row>
    <row r="272" spans="1:20" ht="15">
      <c r="A272" t="s">
        <v>19</v>
      </c>
      <c r="B272" t="s">
        <v>20</v>
      </c>
      <c r="C272" t="str">
        <f t="shared" si="4"/>
        <v>31-Dec-21</v>
      </c>
      <c r="D272" t="s">
        <v>21</v>
      </c>
      <c r="E272" t="s">
        <v>28</v>
      </c>
      <c r="F272" t="str">
        <f>"6619422"</f>
        <v>6619422</v>
      </c>
      <c r="G272" t="s">
        <v>298</v>
      </c>
      <c r="I272" t="s">
        <v>30</v>
      </c>
      <c r="J272">
        <v>0.007636254</v>
      </c>
      <c r="K272">
        <v>3900</v>
      </c>
      <c r="L272">
        <v>8189644.12</v>
      </c>
      <c r="M272">
        <v>65872.23</v>
      </c>
      <c r="N272">
        <v>1805</v>
      </c>
      <c r="O272">
        <v>7039500</v>
      </c>
      <c r="P272">
        <v>53755.41</v>
      </c>
      <c r="Q272">
        <v>0</v>
      </c>
      <c r="R272">
        <v>0</v>
      </c>
      <c r="S272">
        <v>0.03</v>
      </c>
      <c r="T272" t="s">
        <v>31</v>
      </c>
    </row>
    <row r="273" spans="1:20" ht="15">
      <c r="A273" t="s">
        <v>19</v>
      </c>
      <c r="B273" t="s">
        <v>20</v>
      </c>
      <c r="C273" t="str">
        <f t="shared" si="4"/>
        <v>31-Dec-21</v>
      </c>
      <c r="D273" t="s">
        <v>21</v>
      </c>
      <c r="E273" t="s">
        <v>28</v>
      </c>
      <c r="F273" t="str">
        <f>"6036548"</f>
        <v>6036548</v>
      </c>
      <c r="G273" t="s">
        <v>299</v>
      </c>
      <c r="I273" t="s">
        <v>30</v>
      </c>
      <c r="J273">
        <v>0.007636254</v>
      </c>
      <c r="K273">
        <v>3900</v>
      </c>
      <c r="L273">
        <v>11219211.25</v>
      </c>
      <c r="M273">
        <v>94435.36</v>
      </c>
      <c r="N273">
        <v>3100</v>
      </c>
      <c r="O273">
        <v>12090000</v>
      </c>
      <c r="P273">
        <v>92322.31</v>
      </c>
      <c r="Q273">
        <v>0</v>
      </c>
      <c r="R273">
        <v>0</v>
      </c>
      <c r="S273">
        <v>0.051</v>
      </c>
      <c r="T273" t="s">
        <v>31</v>
      </c>
    </row>
    <row r="274" spans="1:20" ht="15">
      <c r="A274" t="s">
        <v>19</v>
      </c>
      <c r="B274" t="s">
        <v>20</v>
      </c>
      <c r="C274" t="str">
        <f t="shared" si="4"/>
        <v>31-Dec-21</v>
      </c>
      <c r="D274" t="s">
        <v>21</v>
      </c>
      <c r="E274" t="s">
        <v>28</v>
      </c>
      <c r="F274" t="str">
        <f>"6619507"</f>
        <v>6619507</v>
      </c>
      <c r="G274" t="s">
        <v>300</v>
      </c>
      <c r="I274" t="s">
        <v>30</v>
      </c>
      <c r="J274">
        <v>0.007636254</v>
      </c>
      <c r="K274">
        <v>12000</v>
      </c>
      <c r="L274">
        <v>19113791.27</v>
      </c>
      <c r="M274">
        <v>146663.43</v>
      </c>
      <c r="N274">
        <v>1944</v>
      </c>
      <c r="O274">
        <v>23328000</v>
      </c>
      <c r="P274">
        <v>178138.53</v>
      </c>
      <c r="Q274">
        <v>0</v>
      </c>
      <c r="R274">
        <v>0</v>
      </c>
      <c r="S274">
        <v>0.098</v>
      </c>
      <c r="T274" t="s">
        <v>31</v>
      </c>
    </row>
    <row r="275" spans="1:20" ht="15">
      <c r="A275" t="s">
        <v>19</v>
      </c>
      <c r="B275" t="s">
        <v>20</v>
      </c>
      <c r="C275" t="str">
        <f t="shared" si="4"/>
        <v>31-Dec-21</v>
      </c>
      <c r="D275" t="s">
        <v>21</v>
      </c>
      <c r="E275" t="s">
        <v>28</v>
      </c>
      <c r="F275" t="str">
        <f>"6619604"</f>
        <v>6619604</v>
      </c>
      <c r="G275" t="s">
        <v>301</v>
      </c>
      <c r="I275" t="s">
        <v>30</v>
      </c>
      <c r="J275">
        <v>0.007636254</v>
      </c>
      <c r="K275">
        <v>9100</v>
      </c>
      <c r="L275">
        <v>17463418.11</v>
      </c>
      <c r="M275">
        <v>137776.52</v>
      </c>
      <c r="N275">
        <v>2003</v>
      </c>
      <c r="O275">
        <v>18227300</v>
      </c>
      <c r="P275">
        <v>139188.29</v>
      </c>
      <c r="Q275">
        <v>0</v>
      </c>
      <c r="R275">
        <v>0</v>
      </c>
      <c r="S275">
        <v>0.077</v>
      </c>
      <c r="T275" t="s">
        <v>31</v>
      </c>
    </row>
    <row r="276" spans="1:20" ht="15">
      <c r="A276" t="s">
        <v>19</v>
      </c>
      <c r="B276" t="s">
        <v>20</v>
      </c>
      <c r="C276" t="str">
        <f t="shared" si="4"/>
        <v>31-Dec-21</v>
      </c>
      <c r="D276" t="s">
        <v>21</v>
      </c>
      <c r="E276" t="s">
        <v>28</v>
      </c>
      <c r="F276" t="str">
        <f>"6640767"</f>
        <v>6640767</v>
      </c>
      <c r="G276" t="s">
        <v>302</v>
      </c>
      <c r="I276" t="s">
        <v>30</v>
      </c>
      <c r="J276">
        <v>0.007636254</v>
      </c>
      <c r="K276">
        <v>4699</v>
      </c>
      <c r="L276">
        <v>18519464.51</v>
      </c>
      <c r="M276">
        <v>145028.49</v>
      </c>
      <c r="N276">
        <v>4140</v>
      </c>
      <c r="O276">
        <v>19453860</v>
      </c>
      <c r="P276">
        <v>148554.61</v>
      </c>
      <c r="Q276">
        <v>0</v>
      </c>
      <c r="R276">
        <v>0</v>
      </c>
      <c r="S276">
        <v>0.082</v>
      </c>
      <c r="T276" t="s">
        <v>31</v>
      </c>
    </row>
    <row r="277" spans="1:20" ht="15">
      <c r="A277" t="s">
        <v>19</v>
      </c>
      <c r="B277" t="s">
        <v>20</v>
      </c>
      <c r="C277" t="str">
        <f t="shared" si="4"/>
        <v>31-Dec-21</v>
      </c>
      <c r="D277" t="s">
        <v>21</v>
      </c>
      <c r="E277" t="s">
        <v>28</v>
      </c>
      <c r="F277" t="str">
        <f>"6619648"</f>
        <v>6619648</v>
      </c>
      <c r="G277" t="s">
        <v>303</v>
      </c>
      <c r="I277" t="s">
        <v>30</v>
      </c>
      <c r="J277">
        <v>0.007636254</v>
      </c>
      <c r="K277">
        <v>6500</v>
      </c>
      <c r="L277">
        <v>6412791.15</v>
      </c>
      <c r="M277">
        <v>49118.1</v>
      </c>
      <c r="N277">
        <v>978</v>
      </c>
      <c r="O277">
        <v>6357000</v>
      </c>
      <c r="P277">
        <v>48543.66</v>
      </c>
      <c r="Q277">
        <v>0</v>
      </c>
      <c r="R277">
        <v>0</v>
      </c>
      <c r="S277">
        <v>0.027</v>
      </c>
      <c r="T277" t="s">
        <v>31</v>
      </c>
    </row>
    <row r="278" spans="1:20" ht="15">
      <c r="A278" t="s">
        <v>19</v>
      </c>
      <c r="B278" t="s">
        <v>20</v>
      </c>
      <c r="C278" t="str">
        <f t="shared" si="4"/>
        <v>31-Dec-21</v>
      </c>
      <c r="D278" t="s">
        <v>21</v>
      </c>
      <c r="E278" t="s">
        <v>28</v>
      </c>
      <c r="F278" t="str">
        <f>"6640488"</f>
        <v>6640488</v>
      </c>
      <c r="G278" t="s">
        <v>304</v>
      </c>
      <c r="I278" t="s">
        <v>30</v>
      </c>
      <c r="J278">
        <v>0.007636254</v>
      </c>
      <c r="K278">
        <v>2900</v>
      </c>
      <c r="L278">
        <v>9241247.62</v>
      </c>
      <c r="M278">
        <v>69562.21</v>
      </c>
      <c r="N278">
        <v>5810</v>
      </c>
      <c r="O278">
        <v>16849000</v>
      </c>
      <c r="P278">
        <v>128663.24</v>
      </c>
      <c r="Q278">
        <v>0</v>
      </c>
      <c r="R278">
        <v>0</v>
      </c>
      <c r="S278">
        <v>0.071</v>
      </c>
      <c r="T278" t="s">
        <v>31</v>
      </c>
    </row>
    <row r="279" spans="1:20" ht="15">
      <c r="A279" t="s">
        <v>19</v>
      </c>
      <c r="B279" t="s">
        <v>20</v>
      </c>
      <c r="C279" t="str">
        <f t="shared" si="4"/>
        <v>31-Dec-21</v>
      </c>
      <c r="D279" t="s">
        <v>21</v>
      </c>
      <c r="E279" t="s">
        <v>28</v>
      </c>
      <c r="F279" t="str">
        <f>"6642428"</f>
        <v>6642428</v>
      </c>
      <c r="G279" t="s">
        <v>305</v>
      </c>
      <c r="I279" t="s">
        <v>30</v>
      </c>
      <c r="J279">
        <v>0.007636254</v>
      </c>
      <c r="K279">
        <v>4700</v>
      </c>
      <c r="L279">
        <v>9400859.28</v>
      </c>
      <c r="M279">
        <v>72640.14</v>
      </c>
      <c r="N279">
        <v>1252</v>
      </c>
      <c r="O279">
        <v>5884400</v>
      </c>
      <c r="P279">
        <v>44934.77</v>
      </c>
      <c r="Q279">
        <v>0</v>
      </c>
      <c r="R279">
        <v>0</v>
      </c>
      <c r="S279">
        <v>0.025</v>
      </c>
      <c r="T279" t="s">
        <v>31</v>
      </c>
    </row>
    <row r="280" spans="1:20" ht="15">
      <c r="A280" t="s">
        <v>19</v>
      </c>
      <c r="B280" t="s">
        <v>20</v>
      </c>
      <c r="C280" t="str">
        <f t="shared" si="4"/>
        <v>31-Dec-21</v>
      </c>
      <c r="D280" t="s">
        <v>21</v>
      </c>
      <c r="E280" t="s">
        <v>28</v>
      </c>
      <c r="F280" t="str">
        <f>"6544687"</f>
        <v>6544687</v>
      </c>
      <c r="G280" t="s">
        <v>306</v>
      </c>
      <c r="I280" t="s">
        <v>30</v>
      </c>
      <c r="J280">
        <v>0.007636254</v>
      </c>
      <c r="K280">
        <v>1200</v>
      </c>
      <c r="L280">
        <v>2873655.87</v>
      </c>
      <c r="M280">
        <v>22566.92</v>
      </c>
      <c r="N280">
        <v>3545</v>
      </c>
      <c r="O280">
        <v>4254000</v>
      </c>
      <c r="P280">
        <v>32484.62</v>
      </c>
      <c r="Q280">
        <v>0</v>
      </c>
      <c r="R280">
        <v>0</v>
      </c>
      <c r="S280">
        <v>0.018</v>
      </c>
      <c r="T280" t="s">
        <v>31</v>
      </c>
    </row>
    <row r="281" spans="1:20" ht="15">
      <c r="A281" t="s">
        <v>19</v>
      </c>
      <c r="B281" t="s">
        <v>20</v>
      </c>
      <c r="C281" t="str">
        <f t="shared" si="4"/>
        <v>31-Dec-21</v>
      </c>
      <c r="D281" t="s">
        <v>21</v>
      </c>
      <c r="E281" t="s">
        <v>28</v>
      </c>
      <c r="F281" t="str">
        <f>"6641544"</f>
        <v>6641544</v>
      </c>
      <c r="G281" t="s">
        <v>307</v>
      </c>
      <c r="I281" t="s">
        <v>30</v>
      </c>
      <c r="J281">
        <v>0.007636254</v>
      </c>
      <c r="K281">
        <v>20900</v>
      </c>
      <c r="L281">
        <v>22890870.21</v>
      </c>
      <c r="M281">
        <v>172515.99</v>
      </c>
      <c r="N281">
        <v>738</v>
      </c>
      <c r="O281">
        <v>15424200</v>
      </c>
      <c r="P281">
        <v>117783.1</v>
      </c>
      <c r="Q281">
        <v>0</v>
      </c>
      <c r="R281">
        <v>0</v>
      </c>
      <c r="S281">
        <v>0.065</v>
      </c>
      <c r="T281" t="s">
        <v>31</v>
      </c>
    </row>
    <row r="282" spans="1:20" ht="15">
      <c r="A282" t="s">
        <v>19</v>
      </c>
      <c r="B282" t="s">
        <v>20</v>
      </c>
      <c r="C282" t="str">
        <f t="shared" si="4"/>
        <v>31-Dec-21</v>
      </c>
      <c r="D282" t="s">
        <v>21</v>
      </c>
      <c r="E282" t="s">
        <v>28</v>
      </c>
      <c r="F282" t="str">
        <f>"6125639"</f>
        <v>6125639</v>
      </c>
      <c r="G282" t="s">
        <v>308</v>
      </c>
      <c r="I282" t="s">
        <v>30</v>
      </c>
      <c r="J282">
        <v>0.007636254</v>
      </c>
      <c r="K282">
        <v>28300</v>
      </c>
      <c r="L282">
        <v>25689663.91</v>
      </c>
      <c r="M282">
        <v>195047.42</v>
      </c>
      <c r="N282">
        <v>2466</v>
      </c>
      <c r="O282">
        <v>69787800</v>
      </c>
      <c r="P282">
        <v>532917.35</v>
      </c>
      <c r="Q282">
        <v>0</v>
      </c>
      <c r="R282">
        <v>0</v>
      </c>
      <c r="S282">
        <v>0.294</v>
      </c>
      <c r="T282" t="s">
        <v>31</v>
      </c>
    </row>
    <row r="283" spans="1:20" ht="15">
      <c r="A283" t="s">
        <v>19</v>
      </c>
      <c r="B283" t="s">
        <v>20</v>
      </c>
      <c r="C283" t="str">
        <f t="shared" si="4"/>
        <v>31-Dec-21</v>
      </c>
      <c r="D283" t="s">
        <v>21</v>
      </c>
      <c r="E283" t="s">
        <v>28</v>
      </c>
      <c r="F283" t="str">
        <f>"6687571"</f>
        <v>6687571</v>
      </c>
      <c r="G283" t="s">
        <v>309</v>
      </c>
      <c r="I283" t="s">
        <v>30</v>
      </c>
      <c r="J283">
        <v>0.007636254</v>
      </c>
      <c r="K283">
        <v>5300</v>
      </c>
      <c r="L283">
        <v>12365736.18</v>
      </c>
      <c r="M283">
        <v>97283.54</v>
      </c>
      <c r="N283">
        <v>3405</v>
      </c>
      <c r="O283">
        <v>18046500</v>
      </c>
      <c r="P283">
        <v>137807.65</v>
      </c>
      <c r="Q283">
        <v>175695</v>
      </c>
      <c r="R283">
        <v>1341.65</v>
      </c>
      <c r="S283">
        <v>0.077</v>
      </c>
      <c r="T283" t="s">
        <v>31</v>
      </c>
    </row>
    <row r="284" spans="1:20" ht="15">
      <c r="A284" t="s">
        <v>19</v>
      </c>
      <c r="B284" t="s">
        <v>20</v>
      </c>
      <c r="C284" t="str">
        <f t="shared" si="4"/>
        <v>31-Dec-21</v>
      </c>
      <c r="D284" t="s">
        <v>21</v>
      </c>
      <c r="E284" t="s">
        <v>28</v>
      </c>
      <c r="F284" t="str">
        <f>"6619820"</f>
        <v>6619820</v>
      </c>
      <c r="G284" t="s">
        <v>310</v>
      </c>
      <c r="I284" t="s">
        <v>30</v>
      </c>
      <c r="J284">
        <v>0.007636254</v>
      </c>
      <c r="K284">
        <v>4851</v>
      </c>
      <c r="L284">
        <v>5775721.36</v>
      </c>
      <c r="M284">
        <v>46610.15</v>
      </c>
      <c r="N284">
        <v>1863</v>
      </c>
      <c r="O284">
        <v>9037413</v>
      </c>
      <c r="P284">
        <v>69011.98</v>
      </c>
      <c r="Q284">
        <v>0</v>
      </c>
      <c r="R284">
        <v>0</v>
      </c>
      <c r="S284">
        <v>0.038</v>
      </c>
      <c r="T284" t="s">
        <v>31</v>
      </c>
    </row>
    <row r="285" spans="1:20" ht="15">
      <c r="A285" t="s">
        <v>19</v>
      </c>
      <c r="B285" t="s">
        <v>20</v>
      </c>
      <c r="C285" t="str">
        <f t="shared" si="4"/>
        <v>31-Dec-21</v>
      </c>
      <c r="D285" t="s">
        <v>21</v>
      </c>
      <c r="E285" t="s">
        <v>28</v>
      </c>
      <c r="F285" t="str">
        <f>"6619864"</f>
        <v>6619864</v>
      </c>
      <c r="G285" t="s">
        <v>311</v>
      </c>
      <c r="I285" t="s">
        <v>30</v>
      </c>
      <c r="J285">
        <v>0.007636254</v>
      </c>
      <c r="K285">
        <v>8699</v>
      </c>
      <c r="L285">
        <v>15816022.18</v>
      </c>
      <c r="M285">
        <v>124222.25</v>
      </c>
      <c r="N285">
        <v>1750</v>
      </c>
      <c r="O285">
        <v>15223250</v>
      </c>
      <c r="P285">
        <v>116248.6</v>
      </c>
      <c r="Q285">
        <v>0</v>
      </c>
      <c r="R285">
        <v>0</v>
      </c>
      <c r="S285">
        <v>0.064</v>
      </c>
      <c r="T285" t="s">
        <v>31</v>
      </c>
    </row>
    <row r="286" spans="1:20" ht="15">
      <c r="A286" t="s">
        <v>19</v>
      </c>
      <c r="B286" t="s">
        <v>20</v>
      </c>
      <c r="C286" t="str">
        <f t="shared" si="4"/>
        <v>31-Dec-21</v>
      </c>
      <c r="D286" t="s">
        <v>21</v>
      </c>
      <c r="E286" t="s">
        <v>28</v>
      </c>
      <c r="F286" t="str">
        <f>"6621472"</f>
        <v>6621472</v>
      </c>
      <c r="G286" t="s">
        <v>312</v>
      </c>
      <c r="I286" t="s">
        <v>30</v>
      </c>
      <c r="J286">
        <v>0.007636254</v>
      </c>
      <c r="K286">
        <v>5600</v>
      </c>
      <c r="L286">
        <v>15100412.82</v>
      </c>
      <c r="M286">
        <v>115382.6</v>
      </c>
      <c r="N286">
        <v>2175</v>
      </c>
      <c r="O286">
        <v>12180000</v>
      </c>
      <c r="P286">
        <v>93009.57</v>
      </c>
      <c r="Q286">
        <v>0</v>
      </c>
      <c r="R286">
        <v>0</v>
      </c>
      <c r="S286">
        <v>0.051</v>
      </c>
      <c r="T286" t="s">
        <v>31</v>
      </c>
    </row>
    <row r="287" spans="1:20" ht="15">
      <c r="A287" t="s">
        <v>19</v>
      </c>
      <c r="B287" t="s">
        <v>20</v>
      </c>
      <c r="C287" t="str">
        <f t="shared" si="4"/>
        <v>31-Dec-21</v>
      </c>
      <c r="D287" t="s">
        <v>21</v>
      </c>
      <c r="E287" t="s">
        <v>28</v>
      </c>
      <c r="F287" t="str">
        <f>"B63QM77"</f>
        <v>B63QM77</v>
      </c>
      <c r="G287" t="s">
        <v>313</v>
      </c>
      <c r="I287" t="s">
        <v>30</v>
      </c>
      <c r="J287">
        <v>0.007636254</v>
      </c>
      <c r="K287">
        <v>19300</v>
      </c>
      <c r="L287">
        <v>16370206.18</v>
      </c>
      <c r="M287">
        <v>130930.16</v>
      </c>
      <c r="N287">
        <v>2224</v>
      </c>
      <c r="O287">
        <v>42923200</v>
      </c>
      <c r="P287">
        <v>327772.45</v>
      </c>
      <c r="Q287">
        <v>41012.5</v>
      </c>
      <c r="R287">
        <v>313.18</v>
      </c>
      <c r="S287">
        <v>0.181</v>
      </c>
      <c r="T287" t="s">
        <v>31</v>
      </c>
    </row>
    <row r="288" spans="1:20" ht="15">
      <c r="A288" t="s">
        <v>19</v>
      </c>
      <c r="B288" t="s">
        <v>20</v>
      </c>
      <c r="C288" t="str">
        <f t="shared" si="4"/>
        <v>31-Dec-21</v>
      </c>
      <c r="D288" t="s">
        <v>21</v>
      </c>
      <c r="E288" t="s">
        <v>28</v>
      </c>
      <c r="F288" t="str">
        <f>"6640864"</f>
        <v>6640864</v>
      </c>
      <c r="G288" t="s">
        <v>314</v>
      </c>
      <c r="I288" t="s">
        <v>30</v>
      </c>
      <c r="J288">
        <v>0.007636254</v>
      </c>
      <c r="K288">
        <v>4700</v>
      </c>
      <c r="L288">
        <v>8468715.59</v>
      </c>
      <c r="M288">
        <v>65731.86</v>
      </c>
      <c r="N288">
        <v>2663</v>
      </c>
      <c r="O288">
        <v>12516100</v>
      </c>
      <c r="P288">
        <v>95576.12</v>
      </c>
      <c r="Q288">
        <v>0</v>
      </c>
      <c r="R288">
        <v>0</v>
      </c>
      <c r="S288">
        <v>0.053</v>
      </c>
      <c r="T288" t="s">
        <v>31</v>
      </c>
    </row>
    <row r="289" spans="1:20" ht="15">
      <c r="A289" t="s">
        <v>19</v>
      </c>
      <c r="B289" t="s">
        <v>20</v>
      </c>
      <c r="C289" t="str">
        <f t="shared" si="4"/>
        <v>31-Dec-21</v>
      </c>
      <c r="D289" t="s">
        <v>21</v>
      </c>
      <c r="E289" t="s">
        <v>28</v>
      </c>
      <c r="F289" t="str">
        <f>"6640682"</f>
        <v>6640682</v>
      </c>
      <c r="G289" t="s">
        <v>315</v>
      </c>
      <c r="I289" t="s">
        <v>30</v>
      </c>
      <c r="J289">
        <v>0.007636254</v>
      </c>
      <c r="K289">
        <v>21500</v>
      </c>
      <c r="L289">
        <v>72384010.66</v>
      </c>
      <c r="M289">
        <v>573905.4</v>
      </c>
      <c r="N289">
        <v>13520</v>
      </c>
      <c r="O289">
        <v>290680000</v>
      </c>
      <c r="P289">
        <v>2219706.23</v>
      </c>
      <c r="Q289">
        <v>0</v>
      </c>
      <c r="R289">
        <v>0</v>
      </c>
      <c r="S289">
        <v>1.224</v>
      </c>
      <c r="T289" t="s">
        <v>31</v>
      </c>
    </row>
    <row r="290" spans="1:20" ht="15">
      <c r="A290" t="s">
        <v>19</v>
      </c>
      <c r="B290" t="s">
        <v>20</v>
      </c>
      <c r="C290" t="str">
        <f t="shared" si="4"/>
        <v>31-Dec-21</v>
      </c>
      <c r="D290" t="s">
        <v>21</v>
      </c>
      <c r="E290" t="s">
        <v>28</v>
      </c>
      <c r="F290" t="str">
        <f>"6639163"</f>
        <v>6639163</v>
      </c>
      <c r="G290" t="s">
        <v>316</v>
      </c>
      <c r="I290" t="s">
        <v>30</v>
      </c>
      <c r="J290">
        <v>0.007636254</v>
      </c>
      <c r="K290">
        <v>3800</v>
      </c>
      <c r="L290">
        <v>9206535.49</v>
      </c>
      <c r="M290">
        <v>72582.1</v>
      </c>
      <c r="N290">
        <v>3610</v>
      </c>
      <c r="O290">
        <v>13718000</v>
      </c>
      <c r="P290">
        <v>104754.13</v>
      </c>
      <c r="Q290">
        <v>0</v>
      </c>
      <c r="R290">
        <v>0</v>
      </c>
      <c r="S290">
        <v>0.058</v>
      </c>
      <c r="T290" t="s">
        <v>31</v>
      </c>
    </row>
    <row r="291" spans="1:20" ht="15">
      <c r="A291" t="s">
        <v>19</v>
      </c>
      <c r="B291" t="s">
        <v>20</v>
      </c>
      <c r="C291" t="str">
        <f t="shared" si="4"/>
        <v>31-Dec-21</v>
      </c>
      <c r="D291" t="s">
        <v>21</v>
      </c>
      <c r="E291" t="s">
        <v>28</v>
      </c>
      <c r="F291" t="str">
        <f>"6639970"</f>
        <v>6639970</v>
      </c>
      <c r="G291" t="s">
        <v>317</v>
      </c>
      <c r="I291" t="s">
        <v>30</v>
      </c>
      <c r="J291">
        <v>0.007636254</v>
      </c>
      <c r="K291">
        <v>3300</v>
      </c>
      <c r="L291">
        <v>9121515.79</v>
      </c>
      <c r="M291">
        <v>67312.32</v>
      </c>
      <c r="N291">
        <v>3155</v>
      </c>
      <c r="O291">
        <v>10411500</v>
      </c>
      <c r="P291">
        <v>79504.86</v>
      </c>
      <c r="Q291">
        <v>0</v>
      </c>
      <c r="R291">
        <v>0</v>
      </c>
      <c r="S291">
        <v>0.044</v>
      </c>
      <c r="T291" t="s">
        <v>31</v>
      </c>
    </row>
    <row r="292" spans="1:20" ht="15">
      <c r="A292" t="s">
        <v>19</v>
      </c>
      <c r="B292" t="s">
        <v>20</v>
      </c>
      <c r="C292" t="str">
        <f t="shared" si="4"/>
        <v>31-Dec-21</v>
      </c>
      <c r="D292" t="s">
        <v>21</v>
      </c>
      <c r="E292" t="s">
        <v>28</v>
      </c>
      <c r="F292" t="str">
        <f>"B1DN466"</f>
        <v>B1DN466</v>
      </c>
      <c r="G292" t="s">
        <v>318</v>
      </c>
      <c r="I292" t="s">
        <v>30</v>
      </c>
      <c r="J292">
        <v>0.007636254</v>
      </c>
      <c r="K292">
        <v>12500</v>
      </c>
      <c r="L292">
        <v>12051562.46</v>
      </c>
      <c r="M292">
        <v>97124.65</v>
      </c>
      <c r="N292">
        <v>2821</v>
      </c>
      <c r="O292">
        <v>35262500</v>
      </c>
      <c r="P292">
        <v>269273.4</v>
      </c>
      <c r="Q292">
        <v>0</v>
      </c>
      <c r="R292">
        <v>0</v>
      </c>
      <c r="S292">
        <v>0.148</v>
      </c>
      <c r="T292" t="s">
        <v>31</v>
      </c>
    </row>
    <row r="293" spans="1:20" ht="15">
      <c r="A293" t="s">
        <v>19</v>
      </c>
      <c r="B293" t="s">
        <v>20</v>
      </c>
      <c r="C293" t="str">
        <f t="shared" si="4"/>
        <v>31-Dec-21</v>
      </c>
      <c r="D293" t="s">
        <v>21</v>
      </c>
      <c r="E293" t="s">
        <v>28</v>
      </c>
      <c r="F293" t="str">
        <f>"6642688"</f>
        <v>6642688</v>
      </c>
      <c r="G293" t="s">
        <v>319</v>
      </c>
      <c r="I293" t="s">
        <v>30</v>
      </c>
      <c r="J293">
        <v>0.007636254</v>
      </c>
      <c r="K293">
        <v>2800</v>
      </c>
      <c r="L293">
        <v>8494894.04</v>
      </c>
      <c r="M293">
        <v>65892</v>
      </c>
      <c r="N293">
        <v>3230</v>
      </c>
      <c r="O293">
        <v>9044000</v>
      </c>
      <c r="P293">
        <v>69062.28</v>
      </c>
      <c r="Q293">
        <v>0</v>
      </c>
      <c r="R293">
        <v>0</v>
      </c>
      <c r="S293">
        <v>0.038</v>
      </c>
      <c r="T293" t="s">
        <v>31</v>
      </c>
    </row>
    <row r="294" spans="1:20" ht="15">
      <c r="A294" t="s">
        <v>19</v>
      </c>
      <c r="B294" t="s">
        <v>20</v>
      </c>
      <c r="C294" t="str">
        <f t="shared" si="4"/>
        <v>31-Dec-21</v>
      </c>
      <c r="D294" t="s">
        <v>21</v>
      </c>
      <c r="E294" t="s">
        <v>28</v>
      </c>
      <c r="F294" t="str">
        <f>"6642321"</f>
        <v>6642321</v>
      </c>
      <c r="G294" t="s">
        <v>320</v>
      </c>
      <c r="I294" t="s">
        <v>30</v>
      </c>
      <c r="J294">
        <v>0.007636254</v>
      </c>
      <c r="K294">
        <v>15300</v>
      </c>
      <c r="L294">
        <v>29357920.68</v>
      </c>
      <c r="M294">
        <v>225352.37</v>
      </c>
      <c r="N294">
        <v>1240</v>
      </c>
      <c r="O294">
        <v>18972000</v>
      </c>
      <c r="P294">
        <v>144875.01</v>
      </c>
      <c r="Q294">
        <v>0</v>
      </c>
      <c r="R294">
        <v>0</v>
      </c>
      <c r="S294">
        <v>0.08</v>
      </c>
      <c r="T294" t="s">
        <v>31</v>
      </c>
    </row>
    <row r="295" spans="1:20" ht="15">
      <c r="A295" t="s">
        <v>19</v>
      </c>
      <c r="B295" t="s">
        <v>20</v>
      </c>
      <c r="C295" t="str">
        <f t="shared" si="4"/>
        <v>31-Dec-21</v>
      </c>
      <c r="D295" t="s">
        <v>21</v>
      </c>
      <c r="E295" t="s">
        <v>28</v>
      </c>
      <c r="F295" t="str">
        <f>"6639550"</f>
        <v>6639550</v>
      </c>
      <c r="G295" t="s">
        <v>321</v>
      </c>
      <c r="I295" t="s">
        <v>30</v>
      </c>
      <c r="J295">
        <v>0.007636254</v>
      </c>
      <c r="K295">
        <v>4950</v>
      </c>
      <c r="L295">
        <v>133974694.02</v>
      </c>
      <c r="M295">
        <v>1016355.15</v>
      </c>
      <c r="N295">
        <v>53650</v>
      </c>
      <c r="O295">
        <v>265567500</v>
      </c>
      <c r="P295">
        <v>2027940.81</v>
      </c>
      <c r="Q295">
        <v>0</v>
      </c>
      <c r="R295">
        <v>0</v>
      </c>
      <c r="S295">
        <v>1.118</v>
      </c>
      <c r="T295" t="s">
        <v>31</v>
      </c>
    </row>
    <row r="296" spans="1:20" ht="15">
      <c r="A296" t="s">
        <v>19</v>
      </c>
      <c r="B296" t="s">
        <v>20</v>
      </c>
      <c r="C296" t="str">
        <f t="shared" si="4"/>
        <v>31-Dec-21</v>
      </c>
      <c r="D296" t="s">
        <v>21</v>
      </c>
      <c r="E296" t="s">
        <v>28</v>
      </c>
      <c r="F296" t="str">
        <f>"6640789"</f>
        <v>6640789</v>
      </c>
      <c r="G296" t="s">
        <v>322</v>
      </c>
      <c r="I296" t="s">
        <v>30</v>
      </c>
      <c r="J296">
        <v>0.007636254</v>
      </c>
      <c r="K296">
        <v>2600</v>
      </c>
      <c r="L296">
        <v>4687997.34</v>
      </c>
      <c r="M296">
        <v>38668.67</v>
      </c>
      <c r="N296">
        <v>3990</v>
      </c>
      <c r="O296">
        <v>10374000</v>
      </c>
      <c r="P296">
        <v>79218.5</v>
      </c>
      <c r="Q296">
        <v>0</v>
      </c>
      <c r="R296">
        <v>0</v>
      </c>
      <c r="S296">
        <v>0.044</v>
      </c>
      <c r="T296" t="s">
        <v>31</v>
      </c>
    </row>
    <row r="297" spans="1:20" ht="15">
      <c r="A297" t="s">
        <v>19</v>
      </c>
      <c r="B297" t="s">
        <v>20</v>
      </c>
      <c r="C297" t="str">
        <f t="shared" si="4"/>
        <v>31-Dec-21</v>
      </c>
      <c r="D297" t="s">
        <v>21</v>
      </c>
      <c r="E297" t="s">
        <v>28</v>
      </c>
      <c r="F297" t="str">
        <f>"B182BB2"</f>
        <v>B182BB2</v>
      </c>
      <c r="G297" t="s">
        <v>323</v>
      </c>
      <c r="I297" t="s">
        <v>30</v>
      </c>
      <c r="J297">
        <v>0.007636254</v>
      </c>
      <c r="K297">
        <v>20</v>
      </c>
      <c r="L297">
        <v>12018087.2</v>
      </c>
      <c r="M297">
        <v>94365.87</v>
      </c>
      <c r="N297">
        <v>663000</v>
      </c>
      <c r="O297">
        <v>13260000</v>
      </c>
      <c r="P297">
        <v>101256.72</v>
      </c>
      <c r="Q297">
        <v>0</v>
      </c>
      <c r="R297">
        <v>0</v>
      </c>
      <c r="S297">
        <v>0.056</v>
      </c>
      <c r="T297" t="s">
        <v>31</v>
      </c>
    </row>
    <row r="298" spans="1:20" ht="15">
      <c r="A298" t="s">
        <v>19</v>
      </c>
      <c r="B298" t="s">
        <v>20</v>
      </c>
      <c r="C298" t="str">
        <f t="shared" si="4"/>
        <v>31-Dec-21</v>
      </c>
      <c r="D298" t="s">
        <v>21</v>
      </c>
      <c r="E298" t="s">
        <v>28</v>
      </c>
      <c r="F298" t="str">
        <f>"6396800"</f>
        <v>6396800</v>
      </c>
      <c r="G298" t="s">
        <v>324</v>
      </c>
      <c r="I298" t="s">
        <v>30</v>
      </c>
      <c r="J298">
        <v>0.007636254</v>
      </c>
      <c r="K298">
        <v>67</v>
      </c>
      <c r="L298">
        <v>42907925.06</v>
      </c>
      <c r="M298">
        <v>334949.98</v>
      </c>
      <c r="N298">
        <v>670000</v>
      </c>
      <c r="O298">
        <v>44890000</v>
      </c>
      <c r="P298">
        <v>342791.43</v>
      </c>
      <c r="Q298">
        <v>654925</v>
      </c>
      <c r="R298">
        <v>5001.17</v>
      </c>
      <c r="S298">
        <v>0.192</v>
      </c>
      <c r="T298" t="s">
        <v>31</v>
      </c>
    </row>
    <row r="299" spans="1:20" ht="15">
      <c r="A299" t="s">
        <v>19</v>
      </c>
      <c r="B299" t="s">
        <v>20</v>
      </c>
      <c r="C299" t="str">
        <f t="shared" si="4"/>
        <v>31-Dec-21</v>
      </c>
      <c r="D299" t="s">
        <v>21</v>
      </c>
      <c r="E299" t="s">
        <v>28</v>
      </c>
      <c r="F299" t="str">
        <f>"6642666"</f>
        <v>6642666</v>
      </c>
      <c r="G299" t="s">
        <v>325</v>
      </c>
      <c r="I299" t="s">
        <v>30</v>
      </c>
      <c r="J299">
        <v>0.007636254</v>
      </c>
      <c r="K299">
        <v>3900</v>
      </c>
      <c r="L299">
        <v>21336449.47</v>
      </c>
      <c r="M299">
        <v>166868.09</v>
      </c>
      <c r="N299">
        <v>2949</v>
      </c>
      <c r="O299">
        <v>11501100</v>
      </c>
      <c r="P299">
        <v>87825.32</v>
      </c>
      <c r="Q299">
        <v>198900</v>
      </c>
      <c r="R299">
        <v>1518.85</v>
      </c>
      <c r="S299">
        <v>0.049</v>
      </c>
      <c r="T299" t="s">
        <v>31</v>
      </c>
    </row>
    <row r="300" spans="1:20" ht="15">
      <c r="A300" t="s">
        <v>19</v>
      </c>
      <c r="B300" t="s">
        <v>20</v>
      </c>
      <c r="C300" t="str">
        <f t="shared" si="4"/>
        <v>31-Dec-21</v>
      </c>
      <c r="D300" t="s">
        <v>21</v>
      </c>
      <c r="E300" t="s">
        <v>28</v>
      </c>
      <c r="F300" t="str">
        <f>"6642127"</f>
        <v>6642127</v>
      </c>
      <c r="G300" t="s">
        <v>326</v>
      </c>
      <c r="I300" t="s">
        <v>30</v>
      </c>
      <c r="J300">
        <v>0.007636254</v>
      </c>
      <c r="K300">
        <v>3300</v>
      </c>
      <c r="L300">
        <v>17165310.13</v>
      </c>
      <c r="M300">
        <v>132660.92</v>
      </c>
      <c r="N300">
        <v>6910</v>
      </c>
      <c r="O300">
        <v>22803000</v>
      </c>
      <c r="P300">
        <v>174129.49</v>
      </c>
      <c r="Q300">
        <v>266475</v>
      </c>
      <c r="R300">
        <v>2034.88</v>
      </c>
      <c r="S300">
        <v>0.097</v>
      </c>
      <c r="T300" t="s">
        <v>31</v>
      </c>
    </row>
    <row r="301" spans="1:20" ht="15">
      <c r="A301" t="s">
        <v>19</v>
      </c>
      <c r="B301" t="s">
        <v>20</v>
      </c>
      <c r="C301" t="str">
        <f t="shared" si="4"/>
        <v>31-Dec-21</v>
      </c>
      <c r="D301" t="s">
        <v>21</v>
      </c>
      <c r="E301" t="s">
        <v>28</v>
      </c>
      <c r="F301" t="str">
        <f>"6640422"</f>
        <v>6640422</v>
      </c>
      <c r="G301" t="s">
        <v>327</v>
      </c>
      <c r="I301" t="s">
        <v>30</v>
      </c>
      <c r="J301">
        <v>0.007636254</v>
      </c>
      <c r="K301">
        <v>8200</v>
      </c>
      <c r="L301">
        <v>9975026.79</v>
      </c>
      <c r="M301">
        <v>79229.52</v>
      </c>
      <c r="N301">
        <v>1184</v>
      </c>
      <c r="O301">
        <v>9708800</v>
      </c>
      <c r="P301">
        <v>74138.86</v>
      </c>
      <c r="Q301">
        <v>0</v>
      </c>
      <c r="R301">
        <v>0</v>
      </c>
      <c r="S301">
        <v>0.041</v>
      </c>
      <c r="T301" t="s">
        <v>31</v>
      </c>
    </row>
    <row r="302" spans="1:20" ht="15">
      <c r="A302" t="s">
        <v>19</v>
      </c>
      <c r="B302" t="s">
        <v>20</v>
      </c>
      <c r="C302" t="str">
        <f t="shared" si="4"/>
        <v>31-Dec-21</v>
      </c>
      <c r="D302" t="s">
        <v>21</v>
      </c>
      <c r="E302" t="s">
        <v>28</v>
      </c>
      <c r="F302" t="str">
        <f>"6640507"</f>
        <v>6640507</v>
      </c>
      <c r="G302" t="s">
        <v>328</v>
      </c>
      <c r="I302" t="s">
        <v>30</v>
      </c>
      <c r="J302">
        <v>0.007636254</v>
      </c>
      <c r="K302">
        <v>36400</v>
      </c>
      <c r="L302">
        <v>11428919.78</v>
      </c>
      <c r="M302">
        <v>89502.48</v>
      </c>
      <c r="N302">
        <v>1254</v>
      </c>
      <c r="O302">
        <v>45645600</v>
      </c>
      <c r="P302">
        <v>348561.38</v>
      </c>
      <c r="Q302">
        <v>154700</v>
      </c>
      <c r="R302">
        <v>1181.33</v>
      </c>
      <c r="S302">
        <v>0.193</v>
      </c>
      <c r="T302" t="s">
        <v>31</v>
      </c>
    </row>
    <row r="303" spans="1:20" ht="15">
      <c r="A303" t="s">
        <v>19</v>
      </c>
      <c r="B303" t="s">
        <v>20</v>
      </c>
      <c r="C303" t="str">
        <f t="shared" si="4"/>
        <v>31-Dec-21</v>
      </c>
      <c r="D303" t="s">
        <v>21</v>
      </c>
      <c r="E303" t="s">
        <v>28</v>
      </c>
      <c r="F303" t="str">
        <f>"B98BC67"</f>
        <v>B98BC67</v>
      </c>
      <c r="G303" t="s">
        <v>329</v>
      </c>
      <c r="I303" t="s">
        <v>30</v>
      </c>
      <c r="J303">
        <v>0.007636254</v>
      </c>
      <c r="K303">
        <v>107</v>
      </c>
      <c r="L303">
        <v>36180224.58</v>
      </c>
      <c r="M303">
        <v>283654.28</v>
      </c>
      <c r="N303">
        <v>407000</v>
      </c>
      <c r="O303">
        <v>43549000</v>
      </c>
      <c r="P303">
        <v>332551.21</v>
      </c>
      <c r="Q303">
        <v>447383.05</v>
      </c>
      <c r="R303">
        <v>3416.33</v>
      </c>
      <c r="S303">
        <v>0.185</v>
      </c>
      <c r="T303" t="s">
        <v>31</v>
      </c>
    </row>
    <row r="304" spans="1:20" ht="15">
      <c r="A304" t="s">
        <v>19</v>
      </c>
      <c r="B304" t="s">
        <v>20</v>
      </c>
      <c r="C304" t="str">
        <f t="shared" si="4"/>
        <v>31-Dec-21</v>
      </c>
      <c r="D304" t="s">
        <v>21</v>
      </c>
      <c r="E304" t="s">
        <v>28</v>
      </c>
      <c r="F304" t="str">
        <f>"6640541"</f>
        <v>6640541</v>
      </c>
      <c r="G304" t="s">
        <v>330</v>
      </c>
      <c r="I304" t="s">
        <v>30</v>
      </c>
      <c r="J304">
        <v>0.007636254</v>
      </c>
      <c r="K304">
        <v>6900</v>
      </c>
      <c r="L304">
        <v>8119059.07</v>
      </c>
      <c r="M304">
        <v>57733.39</v>
      </c>
      <c r="N304">
        <v>2513</v>
      </c>
      <c r="O304">
        <v>17339700</v>
      </c>
      <c r="P304">
        <v>132410.35</v>
      </c>
      <c r="Q304">
        <v>0</v>
      </c>
      <c r="R304">
        <v>0</v>
      </c>
      <c r="S304">
        <v>0.073</v>
      </c>
      <c r="T304" t="s">
        <v>31</v>
      </c>
    </row>
    <row r="305" spans="1:20" ht="15">
      <c r="A305" t="s">
        <v>19</v>
      </c>
      <c r="B305" t="s">
        <v>20</v>
      </c>
      <c r="C305" t="str">
        <f t="shared" si="4"/>
        <v>31-Dec-21</v>
      </c>
      <c r="D305" t="s">
        <v>21</v>
      </c>
      <c r="E305" t="s">
        <v>28</v>
      </c>
      <c r="F305" t="str">
        <f>"6640563"</f>
        <v>6640563</v>
      </c>
      <c r="G305" t="s">
        <v>331</v>
      </c>
      <c r="I305" t="s">
        <v>30</v>
      </c>
      <c r="J305">
        <v>0.007636254</v>
      </c>
      <c r="K305">
        <v>2400</v>
      </c>
      <c r="L305">
        <v>9760971.59</v>
      </c>
      <c r="M305">
        <v>73618.52</v>
      </c>
      <c r="N305">
        <v>8010</v>
      </c>
      <c r="O305">
        <v>19224000</v>
      </c>
      <c r="P305">
        <v>146799.34</v>
      </c>
      <c r="Q305">
        <v>0</v>
      </c>
      <c r="R305">
        <v>0</v>
      </c>
      <c r="S305">
        <v>0.081</v>
      </c>
      <c r="T305" t="s">
        <v>31</v>
      </c>
    </row>
    <row r="306" spans="1:20" ht="15">
      <c r="A306" t="s">
        <v>19</v>
      </c>
      <c r="B306" t="s">
        <v>20</v>
      </c>
      <c r="C306" t="str">
        <f t="shared" si="4"/>
        <v>31-Dec-21</v>
      </c>
      <c r="D306" t="s">
        <v>21</v>
      </c>
      <c r="E306" t="s">
        <v>28</v>
      </c>
      <c r="F306" t="str">
        <f>"6470588"</f>
        <v>6470588</v>
      </c>
      <c r="G306" t="s">
        <v>332</v>
      </c>
      <c r="I306" t="s">
        <v>30</v>
      </c>
      <c r="J306">
        <v>0.007636254</v>
      </c>
      <c r="K306">
        <v>1400</v>
      </c>
      <c r="L306">
        <v>7387136.52</v>
      </c>
      <c r="M306">
        <v>58447.31</v>
      </c>
      <c r="N306">
        <v>5320</v>
      </c>
      <c r="O306">
        <v>7448000</v>
      </c>
      <c r="P306">
        <v>56874.82</v>
      </c>
      <c r="Q306">
        <v>0</v>
      </c>
      <c r="R306">
        <v>0</v>
      </c>
      <c r="S306">
        <v>0.031</v>
      </c>
      <c r="T306" t="s">
        <v>31</v>
      </c>
    </row>
    <row r="307" spans="1:20" ht="15">
      <c r="A307" t="s">
        <v>19</v>
      </c>
      <c r="B307" t="s">
        <v>20</v>
      </c>
      <c r="C307" t="str">
        <f t="shared" si="4"/>
        <v>31-Dec-21</v>
      </c>
      <c r="D307" t="s">
        <v>21</v>
      </c>
      <c r="E307" t="s">
        <v>28</v>
      </c>
      <c r="F307" t="str">
        <f>"6642569"</f>
        <v>6642569</v>
      </c>
      <c r="G307" t="s">
        <v>333</v>
      </c>
      <c r="I307" t="s">
        <v>30</v>
      </c>
      <c r="J307">
        <v>0.007636254</v>
      </c>
      <c r="K307">
        <v>38147</v>
      </c>
      <c r="L307">
        <v>123737256.61</v>
      </c>
      <c r="M307">
        <v>923817.68</v>
      </c>
      <c r="N307">
        <v>1878.5</v>
      </c>
      <c r="O307">
        <v>71659139.5</v>
      </c>
      <c r="P307">
        <v>547207.37</v>
      </c>
      <c r="Q307">
        <v>0</v>
      </c>
      <c r="R307">
        <v>0</v>
      </c>
      <c r="S307">
        <v>0.302</v>
      </c>
      <c r="T307" t="s">
        <v>31</v>
      </c>
    </row>
    <row r="308" spans="1:20" ht="15">
      <c r="A308" t="s">
        <v>19</v>
      </c>
      <c r="B308" t="s">
        <v>20</v>
      </c>
      <c r="C308" t="str">
        <f t="shared" si="4"/>
        <v>31-Dec-21</v>
      </c>
      <c r="D308" t="s">
        <v>21</v>
      </c>
      <c r="E308" t="s">
        <v>28</v>
      </c>
      <c r="F308" t="str">
        <f>"6641373"</f>
        <v>6641373</v>
      </c>
      <c r="G308" t="s">
        <v>334</v>
      </c>
      <c r="I308" t="s">
        <v>30</v>
      </c>
      <c r="J308">
        <v>0.007636254</v>
      </c>
      <c r="K308">
        <v>55800</v>
      </c>
      <c r="L308">
        <v>129111359.33</v>
      </c>
      <c r="M308">
        <v>1035749</v>
      </c>
      <c r="N308">
        <v>3150</v>
      </c>
      <c r="O308">
        <v>175770000</v>
      </c>
      <c r="P308">
        <v>1342224.32</v>
      </c>
      <c r="Q308">
        <v>0</v>
      </c>
      <c r="R308">
        <v>0</v>
      </c>
      <c r="S308">
        <v>0.74</v>
      </c>
      <c r="T308" t="s">
        <v>31</v>
      </c>
    </row>
    <row r="309" spans="1:20" ht="15">
      <c r="A309" t="s">
        <v>19</v>
      </c>
      <c r="B309" t="s">
        <v>20</v>
      </c>
      <c r="C309" t="str">
        <f t="shared" si="4"/>
        <v>31-Dec-21</v>
      </c>
      <c r="D309" t="s">
        <v>21</v>
      </c>
      <c r="E309" t="s">
        <v>28</v>
      </c>
      <c r="F309" t="str">
        <f>"6643960"</f>
        <v>6643960</v>
      </c>
      <c r="G309" t="s">
        <v>335</v>
      </c>
      <c r="I309" t="s">
        <v>30</v>
      </c>
      <c r="J309">
        <v>0.007636254</v>
      </c>
      <c r="K309">
        <v>7400</v>
      </c>
      <c r="L309">
        <v>21645751.53</v>
      </c>
      <c r="M309">
        <v>167442.65</v>
      </c>
      <c r="N309">
        <v>8760</v>
      </c>
      <c r="O309">
        <v>64824000</v>
      </c>
      <c r="P309">
        <v>495012.51</v>
      </c>
      <c r="Q309">
        <v>0</v>
      </c>
      <c r="R309">
        <v>0</v>
      </c>
      <c r="S309">
        <v>0.273</v>
      </c>
      <c r="T309" t="s">
        <v>31</v>
      </c>
    </row>
    <row r="310" spans="1:20" ht="15">
      <c r="A310" t="s">
        <v>19</v>
      </c>
      <c r="B310" t="s">
        <v>20</v>
      </c>
      <c r="C310" t="str">
        <f t="shared" si="4"/>
        <v>31-Dec-21</v>
      </c>
      <c r="D310" t="s">
        <v>21</v>
      </c>
      <c r="E310" t="s">
        <v>28</v>
      </c>
      <c r="F310" t="str">
        <f>"6641599"</f>
        <v>6641599</v>
      </c>
      <c r="G310" t="s">
        <v>336</v>
      </c>
      <c r="I310" t="s">
        <v>30</v>
      </c>
      <c r="J310">
        <v>0.007636254</v>
      </c>
      <c r="K310">
        <v>4400</v>
      </c>
      <c r="L310">
        <v>4312119.16</v>
      </c>
      <c r="M310">
        <v>34591.88</v>
      </c>
      <c r="N310">
        <v>1089</v>
      </c>
      <c r="O310">
        <v>4791600</v>
      </c>
      <c r="P310">
        <v>36589.87</v>
      </c>
      <c r="Q310">
        <v>0</v>
      </c>
      <c r="R310">
        <v>0</v>
      </c>
      <c r="S310">
        <v>0.02</v>
      </c>
      <c r="T310" t="s">
        <v>31</v>
      </c>
    </row>
    <row r="311" spans="1:20" ht="15">
      <c r="A311" t="s">
        <v>19</v>
      </c>
      <c r="B311" t="s">
        <v>20</v>
      </c>
      <c r="C311" t="str">
        <f t="shared" si="4"/>
        <v>31-Dec-21</v>
      </c>
      <c r="D311" t="s">
        <v>21</v>
      </c>
      <c r="E311" t="s">
        <v>28</v>
      </c>
      <c r="F311" t="str">
        <f>"6642967"</f>
        <v>6642967</v>
      </c>
      <c r="G311" t="s">
        <v>337</v>
      </c>
      <c r="I311" t="s">
        <v>30</v>
      </c>
      <c r="J311">
        <v>0.007636254</v>
      </c>
      <c r="K311">
        <v>3099</v>
      </c>
      <c r="L311">
        <v>7113592.36</v>
      </c>
      <c r="M311">
        <v>55993.08</v>
      </c>
      <c r="N311">
        <v>2609</v>
      </c>
      <c r="O311">
        <v>8085291</v>
      </c>
      <c r="P311">
        <v>61741.33</v>
      </c>
      <c r="Q311">
        <v>0</v>
      </c>
      <c r="R311">
        <v>0</v>
      </c>
      <c r="S311">
        <v>0.034</v>
      </c>
      <c r="T311" t="s">
        <v>31</v>
      </c>
    </row>
    <row r="312" spans="1:20" ht="15">
      <c r="A312" t="s">
        <v>19</v>
      </c>
      <c r="B312" t="s">
        <v>20</v>
      </c>
      <c r="C312" t="str">
        <f t="shared" si="4"/>
        <v>31-Dec-21</v>
      </c>
      <c r="D312" t="s">
        <v>21</v>
      </c>
      <c r="E312" t="s">
        <v>28</v>
      </c>
      <c r="F312" t="str">
        <f>"6641588"</f>
        <v>6641588</v>
      </c>
      <c r="G312" t="s">
        <v>338</v>
      </c>
      <c r="I312" t="s">
        <v>30</v>
      </c>
      <c r="J312">
        <v>0.007636254</v>
      </c>
      <c r="K312">
        <v>6200</v>
      </c>
      <c r="L312">
        <v>12796203.96</v>
      </c>
      <c r="M312">
        <v>98663.45</v>
      </c>
      <c r="N312">
        <v>6680</v>
      </c>
      <c r="O312">
        <v>41416000</v>
      </c>
      <c r="P312">
        <v>316263.08</v>
      </c>
      <c r="Q312">
        <v>0</v>
      </c>
      <c r="R312">
        <v>0</v>
      </c>
      <c r="S312">
        <v>0.174</v>
      </c>
      <c r="T312" t="s">
        <v>31</v>
      </c>
    </row>
    <row r="313" spans="1:20" ht="15">
      <c r="A313" t="s">
        <v>19</v>
      </c>
      <c r="B313" t="s">
        <v>20</v>
      </c>
      <c r="C313" t="str">
        <f t="shared" si="4"/>
        <v>31-Dec-21</v>
      </c>
      <c r="D313" t="s">
        <v>21</v>
      </c>
      <c r="E313" t="s">
        <v>28</v>
      </c>
      <c r="F313" t="str">
        <f>"6642860"</f>
        <v>6642860</v>
      </c>
      <c r="G313" t="s">
        <v>339</v>
      </c>
      <c r="I313" t="s">
        <v>30</v>
      </c>
      <c r="J313">
        <v>0.007636254</v>
      </c>
      <c r="K313">
        <v>87500</v>
      </c>
      <c r="L313">
        <v>86731090.64</v>
      </c>
      <c r="M313">
        <v>675345.04</v>
      </c>
      <c r="N313">
        <v>555.8</v>
      </c>
      <c r="O313">
        <v>48632500</v>
      </c>
      <c r="P313">
        <v>371370.11</v>
      </c>
      <c r="Q313">
        <v>0</v>
      </c>
      <c r="R313">
        <v>0</v>
      </c>
      <c r="S313">
        <v>0.205</v>
      </c>
      <c r="T313" t="s">
        <v>31</v>
      </c>
    </row>
    <row r="314" spans="1:20" ht="15">
      <c r="A314" t="s">
        <v>19</v>
      </c>
      <c r="B314" t="s">
        <v>20</v>
      </c>
      <c r="C314" t="str">
        <f t="shared" si="4"/>
        <v>31-Dec-21</v>
      </c>
      <c r="D314" t="s">
        <v>21</v>
      </c>
      <c r="E314" t="s">
        <v>28</v>
      </c>
      <c r="F314" t="str">
        <f>"6640961"</f>
        <v>6640961</v>
      </c>
      <c r="G314" t="s">
        <v>340</v>
      </c>
      <c r="I314" t="s">
        <v>30</v>
      </c>
      <c r="J314">
        <v>0.007636254</v>
      </c>
      <c r="K314">
        <v>12200</v>
      </c>
      <c r="L314">
        <v>17113973.24</v>
      </c>
      <c r="M314">
        <v>133714.72</v>
      </c>
      <c r="N314">
        <v>1658</v>
      </c>
      <c r="O314">
        <v>20227600</v>
      </c>
      <c r="P314">
        <v>154463.09</v>
      </c>
      <c r="Q314">
        <v>0</v>
      </c>
      <c r="R314">
        <v>0</v>
      </c>
      <c r="S314">
        <v>0.085</v>
      </c>
      <c r="T314" t="s">
        <v>31</v>
      </c>
    </row>
    <row r="315" spans="1:20" ht="15">
      <c r="A315" t="s">
        <v>19</v>
      </c>
      <c r="B315" t="s">
        <v>20</v>
      </c>
      <c r="C315" t="str">
        <f t="shared" si="4"/>
        <v>31-Dec-21</v>
      </c>
      <c r="D315" t="s">
        <v>21</v>
      </c>
      <c r="E315" t="s">
        <v>28</v>
      </c>
      <c r="F315" t="str">
        <f>"6641760"</f>
        <v>6641760</v>
      </c>
      <c r="G315" t="s">
        <v>341</v>
      </c>
      <c r="I315" t="s">
        <v>30</v>
      </c>
      <c r="J315">
        <v>0.007636254</v>
      </c>
      <c r="K315">
        <v>3200</v>
      </c>
      <c r="L315">
        <v>15262470.44</v>
      </c>
      <c r="M315">
        <v>120130.89</v>
      </c>
      <c r="N315">
        <v>8390</v>
      </c>
      <c r="O315">
        <v>26848000</v>
      </c>
      <c r="P315">
        <v>205018.14</v>
      </c>
      <c r="Q315">
        <v>0</v>
      </c>
      <c r="R315">
        <v>0</v>
      </c>
      <c r="S315">
        <v>0.113</v>
      </c>
      <c r="T315" t="s">
        <v>31</v>
      </c>
    </row>
    <row r="316" spans="1:20" ht="15">
      <c r="A316" t="s">
        <v>19</v>
      </c>
      <c r="B316" t="s">
        <v>20</v>
      </c>
      <c r="C316" t="str">
        <f t="shared" si="4"/>
        <v>31-Dec-21</v>
      </c>
      <c r="D316" t="s">
        <v>21</v>
      </c>
      <c r="E316" t="s">
        <v>28</v>
      </c>
      <c r="F316" t="str">
        <f>"6644800"</f>
        <v>6644800</v>
      </c>
      <c r="G316" t="s">
        <v>342</v>
      </c>
      <c r="I316" t="s">
        <v>30</v>
      </c>
      <c r="J316">
        <v>0.007636254</v>
      </c>
      <c r="K316">
        <v>3500</v>
      </c>
      <c r="L316">
        <v>27749402.19</v>
      </c>
      <c r="M316">
        <v>225673.57</v>
      </c>
      <c r="N316">
        <v>17225</v>
      </c>
      <c r="O316">
        <v>60287500</v>
      </c>
      <c r="P316">
        <v>460370.65</v>
      </c>
      <c r="Q316">
        <v>0</v>
      </c>
      <c r="R316">
        <v>0</v>
      </c>
      <c r="S316">
        <v>0.254</v>
      </c>
      <c r="T316" t="s">
        <v>31</v>
      </c>
    </row>
    <row r="317" spans="1:20" ht="15">
      <c r="A317" t="s">
        <v>19</v>
      </c>
      <c r="B317" t="s">
        <v>20</v>
      </c>
      <c r="C317" t="str">
        <f t="shared" si="4"/>
        <v>31-Dec-21</v>
      </c>
      <c r="D317" t="s">
        <v>21</v>
      </c>
      <c r="E317" t="s">
        <v>28</v>
      </c>
      <c r="F317" t="str">
        <f>"6641801"</f>
        <v>6641801</v>
      </c>
      <c r="G317" t="s">
        <v>343</v>
      </c>
      <c r="I317" t="s">
        <v>30</v>
      </c>
      <c r="J317">
        <v>0.007636254</v>
      </c>
      <c r="K317">
        <v>6600</v>
      </c>
      <c r="L317">
        <v>39831786.73</v>
      </c>
      <c r="M317">
        <v>309898.36</v>
      </c>
      <c r="N317">
        <v>8890</v>
      </c>
      <c r="O317">
        <v>58674000</v>
      </c>
      <c r="P317">
        <v>448049.55</v>
      </c>
      <c r="Q317">
        <v>0</v>
      </c>
      <c r="R317">
        <v>0</v>
      </c>
      <c r="S317">
        <v>0.247</v>
      </c>
      <c r="T317" t="s">
        <v>31</v>
      </c>
    </row>
    <row r="318" spans="1:20" ht="15">
      <c r="A318" t="s">
        <v>19</v>
      </c>
      <c r="B318" t="s">
        <v>20</v>
      </c>
      <c r="C318" t="str">
        <f t="shared" si="4"/>
        <v>31-Dec-21</v>
      </c>
      <c r="D318" t="s">
        <v>21</v>
      </c>
      <c r="E318" t="s">
        <v>28</v>
      </c>
      <c r="F318" t="str">
        <f>"B458891"</f>
        <v>B458891</v>
      </c>
      <c r="G318" t="s">
        <v>344</v>
      </c>
      <c r="I318" t="s">
        <v>30</v>
      </c>
      <c r="J318">
        <v>0.007636254</v>
      </c>
      <c r="K318">
        <v>1000</v>
      </c>
      <c r="L318">
        <v>7289809.41</v>
      </c>
      <c r="M318">
        <v>55950.3</v>
      </c>
      <c r="N318">
        <v>5390</v>
      </c>
      <c r="O318">
        <v>5390000</v>
      </c>
      <c r="P318">
        <v>41159.41</v>
      </c>
      <c r="Q318">
        <v>0</v>
      </c>
      <c r="R318">
        <v>0</v>
      </c>
      <c r="S318">
        <v>0.023</v>
      </c>
      <c r="T318" t="s">
        <v>31</v>
      </c>
    </row>
    <row r="319" spans="1:20" ht="15">
      <c r="A319" t="s">
        <v>19</v>
      </c>
      <c r="B319" t="s">
        <v>20</v>
      </c>
      <c r="C319" t="str">
        <f t="shared" si="4"/>
        <v>31-Dec-21</v>
      </c>
      <c r="D319" t="s">
        <v>21</v>
      </c>
      <c r="E319" t="s">
        <v>28</v>
      </c>
      <c r="F319" t="str">
        <f>"6643108"</f>
        <v>6643108</v>
      </c>
      <c r="G319" t="s">
        <v>345</v>
      </c>
      <c r="I319" t="s">
        <v>30</v>
      </c>
      <c r="J319">
        <v>0.007636254</v>
      </c>
      <c r="K319">
        <v>141900</v>
      </c>
      <c r="L319">
        <v>101133752.55</v>
      </c>
      <c r="M319">
        <v>759993.03</v>
      </c>
      <c r="N319">
        <v>501.7</v>
      </c>
      <c r="O319">
        <v>71191230</v>
      </c>
      <c r="P319">
        <v>543634.29</v>
      </c>
      <c r="Q319">
        <v>0</v>
      </c>
      <c r="R319">
        <v>0</v>
      </c>
      <c r="S319">
        <v>0.3</v>
      </c>
      <c r="T319" t="s">
        <v>31</v>
      </c>
    </row>
    <row r="320" spans="1:20" ht="15">
      <c r="A320" t="s">
        <v>19</v>
      </c>
      <c r="B320" t="s">
        <v>20</v>
      </c>
      <c r="C320" t="str">
        <f t="shared" si="4"/>
        <v>31-Dec-21</v>
      </c>
      <c r="D320" t="s">
        <v>21</v>
      </c>
      <c r="E320" t="s">
        <v>28</v>
      </c>
      <c r="F320" t="str">
        <f>"B1CWJM5"</f>
        <v>B1CWJM5</v>
      </c>
      <c r="G320" t="s">
        <v>346</v>
      </c>
      <c r="I320" t="s">
        <v>30</v>
      </c>
      <c r="J320">
        <v>0.007636254</v>
      </c>
      <c r="K320">
        <v>5200</v>
      </c>
      <c r="L320">
        <v>11268294.61</v>
      </c>
      <c r="M320">
        <v>88056.66</v>
      </c>
      <c r="N320">
        <v>2647</v>
      </c>
      <c r="O320">
        <v>13764400</v>
      </c>
      <c r="P320">
        <v>105108.45</v>
      </c>
      <c r="Q320">
        <v>0</v>
      </c>
      <c r="R320">
        <v>0</v>
      </c>
      <c r="S320">
        <v>0.058</v>
      </c>
      <c r="T320" t="s">
        <v>31</v>
      </c>
    </row>
    <row r="321" spans="1:20" ht="15">
      <c r="A321" t="s">
        <v>19</v>
      </c>
      <c r="B321" t="s">
        <v>20</v>
      </c>
      <c r="C321" t="str">
        <f t="shared" si="4"/>
        <v>31-Dec-21</v>
      </c>
      <c r="D321" t="s">
        <v>21</v>
      </c>
      <c r="E321" t="s">
        <v>28</v>
      </c>
      <c r="F321" t="str">
        <f>"BYSJJF4"</f>
        <v>BYSJJF4</v>
      </c>
      <c r="G321" t="s">
        <v>347</v>
      </c>
      <c r="I321" t="s">
        <v>30</v>
      </c>
      <c r="J321">
        <v>0.007636254</v>
      </c>
      <c r="K321">
        <v>207</v>
      </c>
      <c r="L321">
        <v>31914328.73</v>
      </c>
      <c r="M321">
        <v>249346.64</v>
      </c>
      <c r="N321">
        <v>161800</v>
      </c>
      <c r="O321">
        <v>33492600</v>
      </c>
      <c r="P321">
        <v>255757.99</v>
      </c>
      <c r="Q321">
        <v>0</v>
      </c>
      <c r="R321">
        <v>0</v>
      </c>
      <c r="S321">
        <v>0.141</v>
      </c>
      <c r="T321" t="s">
        <v>31</v>
      </c>
    </row>
    <row r="322" spans="1:20" ht="15">
      <c r="A322" t="s">
        <v>19</v>
      </c>
      <c r="B322" t="s">
        <v>20</v>
      </c>
      <c r="C322" t="str">
        <f aca="true" t="shared" si="5" ref="C322:C385">"31-Dec-21"</f>
        <v>31-Dec-21</v>
      </c>
      <c r="D322" t="s">
        <v>21</v>
      </c>
      <c r="E322" t="s">
        <v>28</v>
      </c>
      <c r="F322" t="str">
        <f>"6390921"</f>
        <v>6390921</v>
      </c>
      <c r="G322" t="s">
        <v>348</v>
      </c>
      <c r="I322" t="s">
        <v>30</v>
      </c>
      <c r="J322">
        <v>0.007636254</v>
      </c>
      <c r="K322">
        <v>12000</v>
      </c>
      <c r="L322">
        <v>11763526.5</v>
      </c>
      <c r="M322">
        <v>89896.87</v>
      </c>
      <c r="N322">
        <v>4935</v>
      </c>
      <c r="O322">
        <v>59220000</v>
      </c>
      <c r="P322">
        <v>452218.94</v>
      </c>
      <c r="Q322">
        <v>0</v>
      </c>
      <c r="R322">
        <v>0</v>
      </c>
      <c r="S322">
        <v>0.249</v>
      </c>
      <c r="T322" t="s">
        <v>31</v>
      </c>
    </row>
    <row r="323" spans="1:20" ht="15">
      <c r="A323" t="s">
        <v>19</v>
      </c>
      <c r="B323" t="s">
        <v>20</v>
      </c>
      <c r="C323" t="str">
        <f t="shared" si="5"/>
        <v>31-Dec-21</v>
      </c>
      <c r="D323" t="s">
        <v>21</v>
      </c>
      <c r="E323" t="s">
        <v>28</v>
      </c>
      <c r="F323" t="str">
        <f>"6174620"</f>
        <v>6174620</v>
      </c>
      <c r="G323" t="s">
        <v>349</v>
      </c>
      <c r="I323" t="s">
        <v>30</v>
      </c>
      <c r="J323">
        <v>0.007636254</v>
      </c>
      <c r="K323">
        <v>900</v>
      </c>
      <c r="L323">
        <v>2353205.5</v>
      </c>
      <c r="M323">
        <v>18763.26</v>
      </c>
      <c r="N323">
        <v>4850</v>
      </c>
      <c r="O323">
        <v>4365000</v>
      </c>
      <c r="P323">
        <v>33332.25</v>
      </c>
      <c r="Q323">
        <v>0</v>
      </c>
      <c r="R323">
        <v>0</v>
      </c>
      <c r="S323">
        <v>0.018</v>
      </c>
      <c r="T323" t="s">
        <v>31</v>
      </c>
    </row>
    <row r="324" spans="1:20" ht="15">
      <c r="A324" t="s">
        <v>19</v>
      </c>
      <c r="B324" t="s">
        <v>20</v>
      </c>
      <c r="C324" t="str">
        <f t="shared" si="5"/>
        <v>31-Dec-21</v>
      </c>
      <c r="D324" t="s">
        <v>21</v>
      </c>
      <c r="E324" t="s">
        <v>28</v>
      </c>
      <c r="F324" t="str">
        <f>"6657789"</f>
        <v>6657789</v>
      </c>
      <c r="G324" t="s">
        <v>350</v>
      </c>
      <c r="I324" t="s">
        <v>30</v>
      </c>
      <c r="J324">
        <v>0.007636254</v>
      </c>
      <c r="K324">
        <v>1300</v>
      </c>
      <c r="L324">
        <v>7091421.22</v>
      </c>
      <c r="M324">
        <v>51587.37</v>
      </c>
      <c r="N324">
        <v>5120</v>
      </c>
      <c r="O324">
        <v>6656000</v>
      </c>
      <c r="P324">
        <v>50826.9</v>
      </c>
      <c r="Q324">
        <v>0</v>
      </c>
      <c r="R324">
        <v>0</v>
      </c>
      <c r="S324">
        <v>0.028</v>
      </c>
      <c r="T324" t="s">
        <v>31</v>
      </c>
    </row>
    <row r="325" spans="1:20" ht="15">
      <c r="A325" t="s">
        <v>19</v>
      </c>
      <c r="B325" t="s">
        <v>20</v>
      </c>
      <c r="C325" t="str">
        <f t="shared" si="5"/>
        <v>31-Dec-21</v>
      </c>
      <c r="D325" t="s">
        <v>21</v>
      </c>
      <c r="E325" t="s">
        <v>28</v>
      </c>
      <c r="F325" t="str">
        <f>"6661144"</f>
        <v>6661144</v>
      </c>
      <c r="G325" t="s">
        <v>351</v>
      </c>
      <c r="I325" t="s">
        <v>30</v>
      </c>
      <c r="J325">
        <v>0.007636254</v>
      </c>
      <c r="K325">
        <v>54930</v>
      </c>
      <c r="L325">
        <v>86300663.39</v>
      </c>
      <c r="M325">
        <v>645350.28</v>
      </c>
      <c r="N325">
        <v>2347.5</v>
      </c>
      <c r="O325">
        <v>128948175</v>
      </c>
      <c r="P325">
        <v>984680.98</v>
      </c>
      <c r="Q325">
        <v>0</v>
      </c>
      <c r="R325">
        <v>0</v>
      </c>
      <c r="S325">
        <v>0.543</v>
      </c>
      <c r="T325" t="s">
        <v>31</v>
      </c>
    </row>
    <row r="326" spans="1:20" ht="15">
      <c r="A326" t="s">
        <v>19</v>
      </c>
      <c r="B326" t="s">
        <v>20</v>
      </c>
      <c r="C326" t="str">
        <f t="shared" si="5"/>
        <v>31-Dec-21</v>
      </c>
      <c r="D326" t="s">
        <v>21</v>
      </c>
      <c r="E326" t="s">
        <v>28</v>
      </c>
      <c r="F326" t="str">
        <f>"6655620"</f>
        <v>6655620</v>
      </c>
      <c r="G326" t="s">
        <v>352</v>
      </c>
      <c r="I326" t="s">
        <v>30</v>
      </c>
      <c r="J326">
        <v>0.007636254</v>
      </c>
      <c r="K326">
        <v>3100</v>
      </c>
      <c r="L326">
        <v>6932931.42</v>
      </c>
      <c r="M326">
        <v>53377.23</v>
      </c>
      <c r="N326">
        <v>1786</v>
      </c>
      <c r="O326">
        <v>5536600</v>
      </c>
      <c r="P326">
        <v>42278.88</v>
      </c>
      <c r="Q326">
        <v>44795</v>
      </c>
      <c r="R326">
        <v>342.07</v>
      </c>
      <c r="S326">
        <v>0.023</v>
      </c>
      <c r="T326" t="s">
        <v>31</v>
      </c>
    </row>
    <row r="327" spans="1:20" ht="15">
      <c r="A327" t="s">
        <v>19</v>
      </c>
      <c r="B327" t="s">
        <v>20</v>
      </c>
      <c r="C327" t="str">
        <f t="shared" si="5"/>
        <v>31-Dec-21</v>
      </c>
      <c r="D327" t="s">
        <v>21</v>
      </c>
      <c r="E327" t="s">
        <v>28</v>
      </c>
      <c r="F327" t="str">
        <f>"6656407"</f>
        <v>6656407</v>
      </c>
      <c r="G327" t="s">
        <v>353</v>
      </c>
      <c r="I327" t="s">
        <v>30</v>
      </c>
      <c r="J327">
        <v>0.007636254</v>
      </c>
      <c r="K327">
        <v>31300</v>
      </c>
      <c r="L327">
        <v>21846865.73</v>
      </c>
      <c r="M327">
        <v>173441.95</v>
      </c>
      <c r="N327">
        <v>890</v>
      </c>
      <c r="O327">
        <v>27857000</v>
      </c>
      <c r="P327">
        <v>212723.12</v>
      </c>
      <c r="Q327">
        <v>0</v>
      </c>
      <c r="R327">
        <v>0</v>
      </c>
      <c r="S327">
        <v>0.117</v>
      </c>
      <c r="T327" t="s">
        <v>31</v>
      </c>
    </row>
    <row r="328" spans="1:20" ht="15">
      <c r="A328" t="s">
        <v>19</v>
      </c>
      <c r="B328" t="s">
        <v>20</v>
      </c>
      <c r="C328" t="str">
        <f t="shared" si="5"/>
        <v>31-Dec-21</v>
      </c>
      <c r="D328" t="s">
        <v>21</v>
      </c>
      <c r="E328" t="s">
        <v>28</v>
      </c>
      <c r="F328" t="str">
        <f>"6136749"</f>
        <v>6136749</v>
      </c>
      <c r="G328" t="s">
        <v>354</v>
      </c>
      <c r="I328" t="s">
        <v>30</v>
      </c>
      <c r="J328">
        <v>0.007636254</v>
      </c>
      <c r="K328">
        <v>3100</v>
      </c>
      <c r="L328">
        <v>10571227.9</v>
      </c>
      <c r="M328">
        <v>82207.27</v>
      </c>
      <c r="N328">
        <v>21600</v>
      </c>
      <c r="O328">
        <v>66960000</v>
      </c>
      <c r="P328">
        <v>511323.55</v>
      </c>
      <c r="Q328">
        <v>0</v>
      </c>
      <c r="R328">
        <v>0</v>
      </c>
      <c r="S328">
        <v>0.282</v>
      </c>
      <c r="T328" t="s">
        <v>31</v>
      </c>
    </row>
    <row r="329" spans="1:20" ht="15">
      <c r="A329" t="s">
        <v>19</v>
      </c>
      <c r="B329" t="s">
        <v>20</v>
      </c>
      <c r="C329" t="str">
        <f t="shared" si="5"/>
        <v>31-Dec-21</v>
      </c>
      <c r="D329" t="s">
        <v>21</v>
      </c>
      <c r="E329" t="s">
        <v>28</v>
      </c>
      <c r="F329" t="str">
        <f>"6656106"</f>
        <v>6656106</v>
      </c>
      <c r="G329" t="s">
        <v>355</v>
      </c>
      <c r="I329" t="s">
        <v>30</v>
      </c>
      <c r="J329">
        <v>0.007636254</v>
      </c>
      <c r="K329">
        <v>14000</v>
      </c>
      <c r="L329">
        <v>25516326.26</v>
      </c>
      <c r="M329">
        <v>203639.1</v>
      </c>
      <c r="N329">
        <v>2136</v>
      </c>
      <c r="O329">
        <v>29904000</v>
      </c>
      <c r="P329">
        <v>228354.53</v>
      </c>
      <c r="Q329">
        <v>0</v>
      </c>
      <c r="R329">
        <v>0</v>
      </c>
      <c r="S329">
        <v>0.126</v>
      </c>
      <c r="T329" t="s">
        <v>31</v>
      </c>
    </row>
    <row r="330" spans="1:20" ht="15">
      <c r="A330" t="s">
        <v>19</v>
      </c>
      <c r="B330" t="s">
        <v>20</v>
      </c>
      <c r="C330" t="str">
        <f t="shared" si="5"/>
        <v>31-Dec-21</v>
      </c>
      <c r="D330" t="s">
        <v>21</v>
      </c>
      <c r="E330" t="s">
        <v>28</v>
      </c>
      <c r="F330" t="str">
        <f>"6657701"</f>
        <v>6657701</v>
      </c>
      <c r="G330" t="s">
        <v>356</v>
      </c>
      <c r="I330" t="s">
        <v>30</v>
      </c>
      <c r="J330">
        <v>0.007636254</v>
      </c>
      <c r="K330">
        <v>41400</v>
      </c>
      <c r="L330">
        <v>21295147.45</v>
      </c>
      <c r="M330">
        <v>164621.64</v>
      </c>
      <c r="N330">
        <v>557</v>
      </c>
      <c r="O330">
        <v>23059800</v>
      </c>
      <c r="P330">
        <v>176090.48</v>
      </c>
      <c r="Q330">
        <v>0</v>
      </c>
      <c r="R330">
        <v>0</v>
      </c>
      <c r="S330">
        <v>0.097</v>
      </c>
      <c r="T330" t="s">
        <v>31</v>
      </c>
    </row>
    <row r="331" spans="1:20" ht="15">
      <c r="A331" t="s">
        <v>19</v>
      </c>
      <c r="B331" t="s">
        <v>20</v>
      </c>
      <c r="C331" t="str">
        <f t="shared" si="5"/>
        <v>31-Dec-21</v>
      </c>
      <c r="D331" t="s">
        <v>21</v>
      </c>
      <c r="E331" t="s">
        <v>28</v>
      </c>
      <c r="F331" t="str">
        <f>"6658801"</f>
        <v>6658801</v>
      </c>
      <c r="G331" t="s">
        <v>357</v>
      </c>
      <c r="I331" t="s">
        <v>30</v>
      </c>
      <c r="J331">
        <v>0.007636254</v>
      </c>
      <c r="K331">
        <v>48600</v>
      </c>
      <c r="L331">
        <v>38439138.08</v>
      </c>
      <c r="M331">
        <v>293395.59</v>
      </c>
      <c r="N331">
        <v>2649.5</v>
      </c>
      <c r="O331">
        <v>128765700</v>
      </c>
      <c r="P331">
        <v>983287.55</v>
      </c>
      <c r="Q331">
        <v>0</v>
      </c>
      <c r="R331">
        <v>0</v>
      </c>
      <c r="S331">
        <v>0.542</v>
      </c>
      <c r="T331" t="s">
        <v>31</v>
      </c>
    </row>
    <row r="332" spans="1:20" ht="15">
      <c r="A332" t="s">
        <v>19</v>
      </c>
      <c r="B332" t="s">
        <v>20</v>
      </c>
      <c r="C332" t="str">
        <f t="shared" si="5"/>
        <v>31-Dec-21</v>
      </c>
      <c r="D332" t="s">
        <v>21</v>
      </c>
      <c r="E332" t="s">
        <v>28</v>
      </c>
      <c r="F332" t="str">
        <f>"6659428"</f>
        <v>6659428</v>
      </c>
      <c r="G332" t="s">
        <v>358</v>
      </c>
      <c r="I332" t="s">
        <v>30</v>
      </c>
      <c r="J332">
        <v>0.007636254</v>
      </c>
      <c r="K332">
        <v>8500</v>
      </c>
      <c r="L332">
        <v>25994699.95</v>
      </c>
      <c r="M332">
        <v>199904.77</v>
      </c>
      <c r="N332">
        <v>11460</v>
      </c>
      <c r="O332">
        <v>97410000</v>
      </c>
      <c r="P332">
        <v>743847.47</v>
      </c>
      <c r="Q332">
        <v>0</v>
      </c>
      <c r="R332">
        <v>0</v>
      </c>
      <c r="S332">
        <v>0.41</v>
      </c>
      <c r="T332" t="s">
        <v>31</v>
      </c>
    </row>
    <row r="333" spans="1:20" ht="15">
      <c r="A333" t="s">
        <v>19</v>
      </c>
      <c r="B333" t="s">
        <v>20</v>
      </c>
      <c r="C333" t="str">
        <f t="shared" si="5"/>
        <v>31-Dec-21</v>
      </c>
      <c r="D333" t="s">
        <v>21</v>
      </c>
      <c r="E333" t="s">
        <v>28</v>
      </c>
      <c r="F333" t="str">
        <f>"6660107"</f>
        <v>6660107</v>
      </c>
      <c r="G333" t="s">
        <v>359</v>
      </c>
      <c r="I333" t="s">
        <v>30</v>
      </c>
      <c r="J333">
        <v>0.007636254</v>
      </c>
      <c r="K333">
        <v>19400</v>
      </c>
      <c r="L333">
        <v>30288857.2</v>
      </c>
      <c r="M333">
        <v>234214.23</v>
      </c>
      <c r="N333">
        <v>2856</v>
      </c>
      <c r="O333">
        <v>55406400</v>
      </c>
      <c r="P333">
        <v>423097.33</v>
      </c>
      <c r="Q333">
        <v>0</v>
      </c>
      <c r="R333">
        <v>0</v>
      </c>
      <c r="S333">
        <v>0.233</v>
      </c>
      <c r="T333" t="s">
        <v>31</v>
      </c>
    </row>
    <row r="334" spans="1:20" ht="15">
      <c r="A334" t="s">
        <v>19</v>
      </c>
      <c r="B334" t="s">
        <v>20</v>
      </c>
      <c r="C334" t="str">
        <f t="shared" si="5"/>
        <v>31-Dec-21</v>
      </c>
      <c r="D334" t="s">
        <v>21</v>
      </c>
      <c r="E334" t="s">
        <v>28</v>
      </c>
      <c r="F334" t="str">
        <f>"BD3D170"</f>
        <v>BD3D170</v>
      </c>
      <c r="G334" t="s">
        <v>360</v>
      </c>
      <c r="I334" t="s">
        <v>30</v>
      </c>
      <c r="J334">
        <v>0.007636254</v>
      </c>
      <c r="K334">
        <v>3600</v>
      </c>
      <c r="L334">
        <v>12175428.07</v>
      </c>
      <c r="M334">
        <v>94505.86</v>
      </c>
      <c r="N334">
        <v>6020</v>
      </c>
      <c r="O334">
        <v>21672000</v>
      </c>
      <c r="P334">
        <v>165492.89</v>
      </c>
      <c r="Q334">
        <v>0</v>
      </c>
      <c r="R334">
        <v>0</v>
      </c>
      <c r="S334">
        <v>0.091</v>
      </c>
      <c r="T334" t="s">
        <v>31</v>
      </c>
    </row>
    <row r="335" spans="1:20" ht="15">
      <c r="A335" t="s">
        <v>19</v>
      </c>
      <c r="B335" t="s">
        <v>20</v>
      </c>
      <c r="C335" t="str">
        <f t="shared" si="5"/>
        <v>31-Dec-21</v>
      </c>
      <c r="D335" t="s">
        <v>21</v>
      </c>
      <c r="E335" t="s">
        <v>28</v>
      </c>
      <c r="F335" t="str">
        <f>"6141680"</f>
        <v>6141680</v>
      </c>
      <c r="G335" t="s">
        <v>361</v>
      </c>
      <c r="I335" t="s">
        <v>30</v>
      </c>
      <c r="J335">
        <v>0.007636254</v>
      </c>
      <c r="K335">
        <v>1600</v>
      </c>
      <c r="L335">
        <v>7184829.36</v>
      </c>
      <c r="M335">
        <v>55179.42</v>
      </c>
      <c r="N335">
        <v>8740</v>
      </c>
      <c r="O335">
        <v>13984000</v>
      </c>
      <c r="P335">
        <v>106785.37</v>
      </c>
      <c r="Q335">
        <v>0</v>
      </c>
      <c r="R335">
        <v>0</v>
      </c>
      <c r="S335">
        <v>0.059</v>
      </c>
      <c r="T335" t="s">
        <v>31</v>
      </c>
    </row>
    <row r="336" spans="1:20" ht="15">
      <c r="A336" t="s">
        <v>19</v>
      </c>
      <c r="B336" t="s">
        <v>20</v>
      </c>
      <c r="C336" t="str">
        <f t="shared" si="5"/>
        <v>31-Dec-21</v>
      </c>
      <c r="D336" t="s">
        <v>21</v>
      </c>
      <c r="E336" t="s">
        <v>28</v>
      </c>
      <c r="F336" t="str">
        <f>"6661122"</f>
        <v>6661122</v>
      </c>
      <c r="G336" t="s">
        <v>362</v>
      </c>
      <c r="I336" t="s">
        <v>30</v>
      </c>
      <c r="J336">
        <v>0.007636254</v>
      </c>
      <c r="K336">
        <v>39300</v>
      </c>
      <c r="L336">
        <v>7862534.43</v>
      </c>
      <c r="M336">
        <v>61358.03</v>
      </c>
      <c r="N336">
        <v>125</v>
      </c>
      <c r="O336">
        <v>4912500</v>
      </c>
      <c r="P336">
        <v>37513.1</v>
      </c>
      <c r="Q336">
        <v>0</v>
      </c>
      <c r="R336">
        <v>0</v>
      </c>
      <c r="S336">
        <v>0.021</v>
      </c>
      <c r="T336" t="s">
        <v>31</v>
      </c>
    </row>
    <row r="337" spans="1:20" ht="15">
      <c r="A337" t="s">
        <v>19</v>
      </c>
      <c r="B337" t="s">
        <v>20</v>
      </c>
      <c r="C337" t="str">
        <f t="shared" si="5"/>
        <v>31-Dec-21</v>
      </c>
      <c r="D337" t="s">
        <v>21</v>
      </c>
      <c r="E337" t="s">
        <v>28</v>
      </c>
      <c r="F337" t="str">
        <f>"6648891"</f>
        <v>6648891</v>
      </c>
      <c r="G337" t="s">
        <v>363</v>
      </c>
      <c r="I337" t="s">
        <v>30</v>
      </c>
      <c r="J337">
        <v>0.007636254</v>
      </c>
      <c r="K337">
        <v>8800</v>
      </c>
      <c r="L337">
        <v>39084513.51</v>
      </c>
      <c r="M337">
        <v>314347.31</v>
      </c>
      <c r="N337">
        <v>19395</v>
      </c>
      <c r="O337">
        <v>170676000</v>
      </c>
      <c r="P337">
        <v>1303325.24</v>
      </c>
      <c r="Q337">
        <v>0</v>
      </c>
      <c r="R337">
        <v>0</v>
      </c>
      <c r="S337">
        <v>0.718</v>
      </c>
      <c r="T337" t="s">
        <v>31</v>
      </c>
    </row>
    <row r="338" spans="1:20" ht="15">
      <c r="A338" t="s">
        <v>19</v>
      </c>
      <c r="B338" t="s">
        <v>20</v>
      </c>
      <c r="C338" t="str">
        <f t="shared" si="5"/>
        <v>31-Dec-21</v>
      </c>
      <c r="D338" t="s">
        <v>21</v>
      </c>
      <c r="E338" t="s">
        <v>28</v>
      </c>
      <c r="F338" t="str">
        <f>"6527774"</f>
        <v>6527774</v>
      </c>
      <c r="G338" t="s">
        <v>364</v>
      </c>
      <c r="I338" t="s">
        <v>30</v>
      </c>
      <c r="J338">
        <v>0.007636254</v>
      </c>
      <c r="K338">
        <v>127</v>
      </c>
      <c r="L338">
        <v>22220096.79</v>
      </c>
      <c r="M338">
        <v>173970.81</v>
      </c>
      <c r="N338">
        <v>179800</v>
      </c>
      <c r="O338">
        <v>22834600</v>
      </c>
      <c r="P338">
        <v>174370.8</v>
      </c>
      <c r="Q338">
        <v>0</v>
      </c>
      <c r="R338">
        <v>0</v>
      </c>
      <c r="S338">
        <v>0.096</v>
      </c>
      <c r="T338" t="s">
        <v>31</v>
      </c>
    </row>
    <row r="339" spans="1:20" ht="15">
      <c r="A339" t="s">
        <v>19</v>
      </c>
      <c r="B339" t="s">
        <v>20</v>
      </c>
      <c r="C339" t="str">
        <f t="shared" si="5"/>
        <v>31-Dec-21</v>
      </c>
      <c r="D339" t="s">
        <v>21</v>
      </c>
      <c r="E339" t="s">
        <v>28</v>
      </c>
      <c r="F339" t="str">
        <f>"6661768"</f>
        <v>6661768</v>
      </c>
      <c r="G339" t="s">
        <v>365</v>
      </c>
      <c r="I339" t="s">
        <v>30</v>
      </c>
      <c r="J339">
        <v>0.007636254</v>
      </c>
      <c r="K339">
        <v>18400</v>
      </c>
      <c r="L339">
        <v>36697291.39</v>
      </c>
      <c r="M339">
        <v>290366.03</v>
      </c>
      <c r="N339">
        <v>1901</v>
      </c>
      <c r="O339">
        <v>34978400</v>
      </c>
      <c r="P339">
        <v>267103.94</v>
      </c>
      <c r="Q339">
        <v>0</v>
      </c>
      <c r="R339">
        <v>0</v>
      </c>
      <c r="S339">
        <v>0.147</v>
      </c>
      <c r="T339" t="s">
        <v>31</v>
      </c>
    </row>
    <row r="340" spans="1:20" ht="15">
      <c r="A340" t="s">
        <v>19</v>
      </c>
      <c r="B340" t="s">
        <v>20</v>
      </c>
      <c r="C340" t="str">
        <f t="shared" si="5"/>
        <v>31-Dec-21</v>
      </c>
      <c r="D340" t="s">
        <v>21</v>
      </c>
      <c r="E340" t="s">
        <v>28</v>
      </c>
      <c r="F340" t="str">
        <f>"6267058"</f>
        <v>6267058</v>
      </c>
      <c r="G340" t="s">
        <v>366</v>
      </c>
      <c r="I340" t="s">
        <v>30</v>
      </c>
      <c r="J340">
        <v>0.007636254</v>
      </c>
      <c r="K340">
        <v>4900</v>
      </c>
      <c r="L340">
        <v>10148817.87</v>
      </c>
      <c r="M340">
        <v>78453.31</v>
      </c>
      <c r="N340">
        <v>5490</v>
      </c>
      <c r="O340">
        <v>26901000</v>
      </c>
      <c r="P340">
        <v>205422.86</v>
      </c>
      <c r="Q340">
        <v>499800</v>
      </c>
      <c r="R340">
        <v>3816.61</v>
      </c>
      <c r="S340">
        <v>0.115</v>
      </c>
      <c r="T340" t="s">
        <v>31</v>
      </c>
    </row>
    <row r="341" spans="1:20" ht="15">
      <c r="A341" t="s">
        <v>19</v>
      </c>
      <c r="B341" t="s">
        <v>20</v>
      </c>
      <c r="C341" t="str">
        <f t="shared" si="5"/>
        <v>31-Dec-21</v>
      </c>
      <c r="D341" t="s">
        <v>21</v>
      </c>
      <c r="E341" t="s">
        <v>28</v>
      </c>
      <c r="F341" t="str">
        <f>"B5LTM93"</f>
        <v>B5LTM93</v>
      </c>
      <c r="G341" t="s">
        <v>367</v>
      </c>
      <c r="I341" t="s">
        <v>30</v>
      </c>
      <c r="J341">
        <v>0.007636254</v>
      </c>
      <c r="K341">
        <v>19700</v>
      </c>
      <c r="L341">
        <v>68524235.27</v>
      </c>
      <c r="M341">
        <v>560248.11</v>
      </c>
      <c r="N341">
        <v>4169</v>
      </c>
      <c r="O341">
        <v>82129300</v>
      </c>
      <c r="P341">
        <v>627160.17</v>
      </c>
      <c r="Q341">
        <v>837250</v>
      </c>
      <c r="R341">
        <v>6393.45</v>
      </c>
      <c r="S341">
        <v>0.349</v>
      </c>
      <c r="T341" t="s">
        <v>31</v>
      </c>
    </row>
    <row r="342" spans="1:20" ht="15">
      <c r="A342" t="s">
        <v>19</v>
      </c>
      <c r="B342" t="s">
        <v>20</v>
      </c>
      <c r="C342" t="str">
        <f t="shared" si="5"/>
        <v>31-Dec-21</v>
      </c>
      <c r="D342" t="s">
        <v>21</v>
      </c>
      <c r="E342" t="s">
        <v>28</v>
      </c>
      <c r="F342" t="str">
        <f>"B61BG94"</f>
        <v>B61BG94</v>
      </c>
      <c r="G342" t="s">
        <v>368</v>
      </c>
      <c r="I342" t="s">
        <v>30</v>
      </c>
      <c r="J342">
        <v>0.007636254</v>
      </c>
      <c r="K342">
        <v>1400</v>
      </c>
      <c r="L342">
        <v>5951190</v>
      </c>
      <c r="M342">
        <v>44796.75</v>
      </c>
      <c r="N342">
        <v>4735</v>
      </c>
      <c r="O342">
        <v>6629000</v>
      </c>
      <c r="P342">
        <v>50620.73</v>
      </c>
      <c r="Q342">
        <v>0</v>
      </c>
      <c r="R342">
        <v>0</v>
      </c>
      <c r="S342">
        <v>0.028</v>
      </c>
      <c r="T342" t="s">
        <v>31</v>
      </c>
    </row>
    <row r="343" spans="1:20" ht="15">
      <c r="A343" t="s">
        <v>19</v>
      </c>
      <c r="B343" t="s">
        <v>20</v>
      </c>
      <c r="C343" t="str">
        <f t="shared" si="5"/>
        <v>31-Dec-21</v>
      </c>
      <c r="D343" t="s">
        <v>21</v>
      </c>
      <c r="E343" t="s">
        <v>28</v>
      </c>
      <c r="F343" t="str">
        <f>"6269861"</f>
        <v>6269861</v>
      </c>
      <c r="G343" t="s">
        <v>369</v>
      </c>
      <c r="I343" t="s">
        <v>30</v>
      </c>
      <c r="J343">
        <v>0.007636254</v>
      </c>
      <c r="K343">
        <v>17200</v>
      </c>
      <c r="L343">
        <v>9667542.11</v>
      </c>
      <c r="M343">
        <v>77190.56</v>
      </c>
      <c r="N343">
        <v>1587</v>
      </c>
      <c r="O343">
        <v>27296400</v>
      </c>
      <c r="P343">
        <v>208442.24</v>
      </c>
      <c r="Q343">
        <v>43860</v>
      </c>
      <c r="R343">
        <v>334.93</v>
      </c>
      <c r="S343">
        <v>0.115</v>
      </c>
      <c r="T343" t="s">
        <v>31</v>
      </c>
    </row>
    <row r="344" spans="1:20" ht="15">
      <c r="A344" t="s">
        <v>19</v>
      </c>
      <c r="B344" t="s">
        <v>20</v>
      </c>
      <c r="C344" t="str">
        <f t="shared" si="5"/>
        <v>31-Dec-21</v>
      </c>
      <c r="D344" t="s">
        <v>21</v>
      </c>
      <c r="E344" t="s">
        <v>28</v>
      </c>
      <c r="F344" t="str">
        <f>"6572707"</f>
        <v>6572707</v>
      </c>
      <c r="G344" t="s">
        <v>370</v>
      </c>
      <c r="I344" t="s">
        <v>30</v>
      </c>
      <c r="J344">
        <v>0.007636254</v>
      </c>
      <c r="K344">
        <v>100306</v>
      </c>
      <c r="L344">
        <v>135913043.93</v>
      </c>
      <c r="M344">
        <v>1034148.28</v>
      </c>
      <c r="N344">
        <v>1265</v>
      </c>
      <c r="O344">
        <v>126887090</v>
      </c>
      <c r="P344">
        <v>968942.01</v>
      </c>
      <c r="Q344">
        <v>0</v>
      </c>
      <c r="R344">
        <v>0</v>
      </c>
      <c r="S344">
        <v>0.534</v>
      </c>
      <c r="T344" t="s">
        <v>31</v>
      </c>
    </row>
    <row r="345" spans="1:20" ht="15">
      <c r="A345" t="s">
        <v>19</v>
      </c>
      <c r="B345" t="s">
        <v>20</v>
      </c>
      <c r="C345" t="str">
        <f t="shared" si="5"/>
        <v>31-Dec-21</v>
      </c>
      <c r="D345" t="s">
        <v>21</v>
      </c>
      <c r="E345" t="s">
        <v>28</v>
      </c>
      <c r="F345" t="str">
        <f>"6667733"</f>
        <v>6667733</v>
      </c>
      <c r="G345" t="s">
        <v>371</v>
      </c>
      <c r="I345" t="s">
        <v>30</v>
      </c>
      <c r="J345">
        <v>0.007636254</v>
      </c>
      <c r="K345">
        <v>5723</v>
      </c>
      <c r="L345">
        <v>9660604.99</v>
      </c>
      <c r="M345">
        <v>82262.57</v>
      </c>
      <c r="N345">
        <v>1576</v>
      </c>
      <c r="O345">
        <v>9019448</v>
      </c>
      <c r="P345">
        <v>68874.79</v>
      </c>
      <c r="Q345">
        <v>0</v>
      </c>
      <c r="R345">
        <v>0</v>
      </c>
      <c r="S345">
        <v>0.038</v>
      </c>
      <c r="T345" t="s">
        <v>31</v>
      </c>
    </row>
    <row r="346" spans="1:20" ht="15">
      <c r="A346" t="s">
        <v>19</v>
      </c>
      <c r="B346" t="s">
        <v>20</v>
      </c>
      <c r="C346" t="str">
        <f t="shared" si="5"/>
        <v>31-Dec-21</v>
      </c>
      <c r="D346" t="s">
        <v>21</v>
      </c>
      <c r="E346" t="s">
        <v>28</v>
      </c>
      <c r="F346" t="str">
        <f>"6680804"</f>
        <v>6680804</v>
      </c>
      <c r="G346" t="s">
        <v>372</v>
      </c>
      <c r="I346" t="s">
        <v>30</v>
      </c>
      <c r="J346">
        <v>0.007636254</v>
      </c>
      <c r="K346">
        <v>14300</v>
      </c>
      <c r="L346">
        <v>10855390.64</v>
      </c>
      <c r="M346">
        <v>83316.63</v>
      </c>
      <c r="N346">
        <v>650</v>
      </c>
      <c r="O346">
        <v>9295000</v>
      </c>
      <c r="P346">
        <v>70978.98</v>
      </c>
      <c r="Q346">
        <v>0</v>
      </c>
      <c r="R346">
        <v>0</v>
      </c>
      <c r="S346">
        <v>0.039</v>
      </c>
      <c r="T346" t="s">
        <v>31</v>
      </c>
    </row>
    <row r="347" spans="1:20" ht="15">
      <c r="A347" t="s">
        <v>19</v>
      </c>
      <c r="B347" t="s">
        <v>20</v>
      </c>
      <c r="C347" t="str">
        <f t="shared" si="5"/>
        <v>31-Dec-21</v>
      </c>
      <c r="D347" t="s">
        <v>21</v>
      </c>
      <c r="E347" t="s">
        <v>28</v>
      </c>
      <c r="F347" t="str">
        <f>"B97SH97"</f>
        <v>B97SH97</v>
      </c>
      <c r="G347" t="s">
        <v>373</v>
      </c>
      <c r="I347" t="s">
        <v>30</v>
      </c>
      <c r="J347">
        <v>0.007636254</v>
      </c>
      <c r="K347">
        <v>4200</v>
      </c>
      <c r="L347">
        <v>11239417.54</v>
      </c>
      <c r="M347">
        <v>94291.69</v>
      </c>
      <c r="N347">
        <v>2545</v>
      </c>
      <c r="O347">
        <v>10689000</v>
      </c>
      <c r="P347">
        <v>81623.92</v>
      </c>
      <c r="Q347">
        <v>0</v>
      </c>
      <c r="R347">
        <v>0</v>
      </c>
      <c r="S347">
        <v>0.045</v>
      </c>
      <c r="T347" t="s">
        <v>31</v>
      </c>
    </row>
    <row r="348" spans="1:20" ht="15">
      <c r="A348" t="s">
        <v>19</v>
      </c>
      <c r="B348" t="s">
        <v>20</v>
      </c>
      <c r="C348" t="str">
        <f t="shared" si="5"/>
        <v>31-Dec-21</v>
      </c>
      <c r="D348" t="s">
        <v>21</v>
      </c>
      <c r="E348" t="s">
        <v>28</v>
      </c>
      <c r="F348" t="str">
        <f>"B3CY709"</f>
        <v>B3CY709</v>
      </c>
      <c r="G348" t="s">
        <v>374</v>
      </c>
      <c r="I348" t="s">
        <v>30</v>
      </c>
      <c r="J348">
        <v>0.007636254</v>
      </c>
      <c r="K348">
        <v>7700</v>
      </c>
      <c r="L348">
        <v>10158333.94</v>
      </c>
      <c r="M348">
        <v>78194.7</v>
      </c>
      <c r="N348">
        <v>3340</v>
      </c>
      <c r="O348">
        <v>25718000</v>
      </c>
      <c r="P348">
        <v>196389.17</v>
      </c>
      <c r="Q348">
        <v>0</v>
      </c>
      <c r="R348">
        <v>0</v>
      </c>
      <c r="S348">
        <v>0.108</v>
      </c>
      <c r="T348" t="s">
        <v>31</v>
      </c>
    </row>
    <row r="349" spans="1:20" ht="15">
      <c r="A349" t="s">
        <v>19</v>
      </c>
      <c r="B349" t="s">
        <v>20</v>
      </c>
      <c r="C349" t="str">
        <f t="shared" si="5"/>
        <v>31-Dec-21</v>
      </c>
      <c r="D349" t="s">
        <v>21</v>
      </c>
      <c r="E349" t="s">
        <v>28</v>
      </c>
      <c r="F349" t="str">
        <f>"6688080"</f>
        <v>6688080</v>
      </c>
      <c r="G349" t="s">
        <v>375</v>
      </c>
      <c r="I349" t="s">
        <v>30</v>
      </c>
      <c r="J349">
        <v>0.007636254</v>
      </c>
      <c r="K349">
        <v>5400</v>
      </c>
      <c r="L349">
        <v>11163419.08</v>
      </c>
      <c r="M349">
        <v>84250.61</v>
      </c>
      <c r="N349">
        <v>2198</v>
      </c>
      <c r="O349">
        <v>11869200</v>
      </c>
      <c r="P349">
        <v>90636.22</v>
      </c>
      <c r="Q349">
        <v>169830</v>
      </c>
      <c r="R349">
        <v>1296.86</v>
      </c>
      <c r="S349">
        <v>0.051</v>
      </c>
      <c r="T349" t="s">
        <v>31</v>
      </c>
    </row>
    <row r="350" spans="1:20" ht="15">
      <c r="A350" t="s">
        <v>19</v>
      </c>
      <c r="B350" t="s">
        <v>20</v>
      </c>
      <c r="C350" t="str">
        <f t="shared" si="5"/>
        <v>31-Dec-21</v>
      </c>
      <c r="D350" t="s">
        <v>21</v>
      </c>
      <c r="E350" t="s">
        <v>28</v>
      </c>
      <c r="F350" t="str">
        <f>"B5N4QN8"</f>
        <v>B5N4QN8</v>
      </c>
      <c r="G350" t="s">
        <v>376</v>
      </c>
      <c r="I350" t="s">
        <v>30</v>
      </c>
      <c r="J350">
        <v>0.007636254</v>
      </c>
      <c r="K350">
        <v>3200</v>
      </c>
      <c r="L350">
        <v>4634125.08</v>
      </c>
      <c r="M350">
        <v>37537.61</v>
      </c>
      <c r="N350">
        <v>1917</v>
      </c>
      <c r="O350">
        <v>6134400</v>
      </c>
      <c r="P350">
        <v>46843.83</v>
      </c>
      <c r="Q350">
        <v>84320</v>
      </c>
      <c r="R350">
        <v>643.89</v>
      </c>
      <c r="S350">
        <v>0.026</v>
      </c>
      <c r="T350" t="s">
        <v>31</v>
      </c>
    </row>
    <row r="351" spans="1:20" ht="15">
      <c r="A351" t="s">
        <v>19</v>
      </c>
      <c r="B351" t="s">
        <v>20</v>
      </c>
      <c r="C351" t="str">
        <f t="shared" si="5"/>
        <v>31-Dec-21</v>
      </c>
      <c r="D351" t="s">
        <v>21</v>
      </c>
      <c r="E351" t="s">
        <v>28</v>
      </c>
      <c r="F351" t="str">
        <f>"BD71KT5"</f>
        <v>BD71KT5</v>
      </c>
      <c r="G351" t="s">
        <v>377</v>
      </c>
      <c r="I351" t="s">
        <v>30</v>
      </c>
      <c r="J351">
        <v>0.007636254</v>
      </c>
      <c r="K351">
        <v>1900</v>
      </c>
      <c r="L351">
        <v>6063050.81</v>
      </c>
      <c r="M351">
        <v>46768.05</v>
      </c>
      <c r="N351">
        <v>2082</v>
      </c>
      <c r="O351">
        <v>3955800</v>
      </c>
      <c r="P351">
        <v>30207.49</v>
      </c>
      <c r="Q351">
        <v>0</v>
      </c>
      <c r="R351">
        <v>0</v>
      </c>
      <c r="S351">
        <v>0.017</v>
      </c>
      <c r="T351" t="s">
        <v>31</v>
      </c>
    </row>
    <row r="352" spans="1:20" ht="15">
      <c r="A352" t="s">
        <v>19</v>
      </c>
      <c r="B352" t="s">
        <v>20</v>
      </c>
      <c r="C352" t="str">
        <f t="shared" si="5"/>
        <v>31-Dec-21</v>
      </c>
      <c r="D352" t="s">
        <v>21</v>
      </c>
      <c r="E352" t="s">
        <v>28</v>
      </c>
      <c r="F352" t="str">
        <f>"BD87BM2"</f>
        <v>BD87BM2</v>
      </c>
      <c r="G352" t="s">
        <v>378</v>
      </c>
      <c r="I352" t="s">
        <v>30</v>
      </c>
      <c r="J352">
        <v>0.007636254</v>
      </c>
      <c r="K352">
        <v>4200</v>
      </c>
      <c r="L352">
        <v>19226530.4</v>
      </c>
      <c r="M352">
        <v>148959.97</v>
      </c>
      <c r="N352">
        <v>3100</v>
      </c>
      <c r="O352">
        <v>13020000</v>
      </c>
      <c r="P352">
        <v>99424.02</v>
      </c>
      <c r="Q352">
        <v>0</v>
      </c>
      <c r="R352">
        <v>0</v>
      </c>
      <c r="S352">
        <v>0.055</v>
      </c>
      <c r="T352" t="s">
        <v>31</v>
      </c>
    </row>
    <row r="353" spans="1:20" ht="15">
      <c r="A353" t="s">
        <v>19</v>
      </c>
      <c r="B353" t="s">
        <v>20</v>
      </c>
      <c r="C353" t="str">
        <f t="shared" si="5"/>
        <v>31-Dec-21</v>
      </c>
      <c r="D353" t="s">
        <v>21</v>
      </c>
      <c r="E353" t="s">
        <v>28</v>
      </c>
      <c r="F353" t="str">
        <f>"6229597"</f>
        <v>6229597</v>
      </c>
      <c r="G353" t="s">
        <v>379</v>
      </c>
      <c r="I353" t="s">
        <v>30</v>
      </c>
      <c r="J353">
        <v>0.007636254</v>
      </c>
      <c r="K353">
        <v>38800</v>
      </c>
      <c r="L353">
        <v>51063703.81</v>
      </c>
      <c r="M353">
        <v>379341.22</v>
      </c>
      <c r="N353">
        <v>1154</v>
      </c>
      <c r="O353">
        <v>44775200</v>
      </c>
      <c r="P353">
        <v>341914.79</v>
      </c>
      <c r="Q353">
        <v>148410</v>
      </c>
      <c r="R353">
        <v>1133.3</v>
      </c>
      <c r="S353">
        <v>0.189</v>
      </c>
      <c r="T353" t="s">
        <v>31</v>
      </c>
    </row>
    <row r="354" spans="1:20" ht="15">
      <c r="A354" t="s">
        <v>19</v>
      </c>
      <c r="B354" t="s">
        <v>20</v>
      </c>
      <c r="C354" t="str">
        <f t="shared" si="5"/>
        <v>31-Dec-21</v>
      </c>
      <c r="D354" t="s">
        <v>21</v>
      </c>
      <c r="E354" t="s">
        <v>28</v>
      </c>
      <c r="F354" t="str">
        <f>"BQRRZ00"</f>
        <v>BQRRZ00</v>
      </c>
      <c r="G354" t="s">
        <v>380</v>
      </c>
      <c r="I354" t="s">
        <v>30</v>
      </c>
      <c r="J354">
        <v>0.007636254</v>
      </c>
      <c r="K354">
        <v>62200</v>
      </c>
      <c r="L354">
        <v>116241189.61</v>
      </c>
      <c r="M354">
        <v>919803.14</v>
      </c>
      <c r="N354">
        <v>6972</v>
      </c>
      <c r="O354">
        <v>433658400</v>
      </c>
      <c r="P354">
        <v>3311525.57</v>
      </c>
      <c r="Q354">
        <v>0</v>
      </c>
      <c r="R354">
        <v>0</v>
      </c>
      <c r="S354">
        <v>1.826</v>
      </c>
      <c r="T354" t="s">
        <v>31</v>
      </c>
    </row>
    <row r="355" spans="1:20" ht="15">
      <c r="A355" t="s">
        <v>19</v>
      </c>
      <c r="B355" t="s">
        <v>20</v>
      </c>
      <c r="C355" t="str">
        <f t="shared" si="5"/>
        <v>31-Dec-21</v>
      </c>
      <c r="D355" t="s">
        <v>21</v>
      </c>
      <c r="E355" t="s">
        <v>28</v>
      </c>
      <c r="F355" t="str">
        <f>"6173906"</f>
        <v>6173906</v>
      </c>
      <c r="G355" t="s">
        <v>381</v>
      </c>
      <c r="I355" t="s">
        <v>30</v>
      </c>
      <c r="J355">
        <v>0.007636254</v>
      </c>
      <c r="K355">
        <v>4400</v>
      </c>
      <c r="L355">
        <v>6915377</v>
      </c>
      <c r="M355">
        <v>59226.31</v>
      </c>
      <c r="N355">
        <v>2079</v>
      </c>
      <c r="O355">
        <v>9147600</v>
      </c>
      <c r="P355">
        <v>69853.39</v>
      </c>
      <c r="Q355">
        <v>0</v>
      </c>
      <c r="R355">
        <v>0</v>
      </c>
      <c r="S355">
        <v>0.039</v>
      </c>
      <c r="T355" t="s">
        <v>31</v>
      </c>
    </row>
    <row r="356" spans="1:20" ht="15">
      <c r="A356" t="s">
        <v>19</v>
      </c>
      <c r="B356" t="s">
        <v>20</v>
      </c>
      <c r="C356" t="str">
        <f t="shared" si="5"/>
        <v>31-Dec-21</v>
      </c>
      <c r="D356" t="s">
        <v>21</v>
      </c>
      <c r="E356" t="s">
        <v>28</v>
      </c>
      <c r="F356" t="str">
        <f>"6635677"</f>
        <v>6635677</v>
      </c>
      <c r="G356" t="s">
        <v>382</v>
      </c>
      <c r="I356" t="s">
        <v>30</v>
      </c>
      <c r="J356">
        <v>0.007636254</v>
      </c>
      <c r="K356">
        <v>47300</v>
      </c>
      <c r="L356">
        <v>56278654.65</v>
      </c>
      <c r="M356">
        <v>425542.27</v>
      </c>
      <c r="N356">
        <v>1423</v>
      </c>
      <c r="O356">
        <v>67307900</v>
      </c>
      <c r="P356">
        <v>513980.2</v>
      </c>
      <c r="Q356">
        <v>0</v>
      </c>
      <c r="R356">
        <v>0</v>
      </c>
      <c r="S356">
        <v>0.283</v>
      </c>
      <c r="T356" t="s">
        <v>31</v>
      </c>
    </row>
    <row r="357" spans="1:20" ht="15">
      <c r="A357" t="s">
        <v>19</v>
      </c>
      <c r="B357" t="s">
        <v>20</v>
      </c>
      <c r="C357" t="str">
        <f t="shared" si="5"/>
        <v>31-Dec-21</v>
      </c>
      <c r="D357" t="s">
        <v>21</v>
      </c>
      <c r="E357" t="s">
        <v>28</v>
      </c>
      <c r="F357" t="str">
        <f>"6732200"</f>
        <v>6732200</v>
      </c>
      <c r="G357" t="s">
        <v>383</v>
      </c>
      <c r="I357" t="s">
        <v>30</v>
      </c>
      <c r="J357">
        <v>0.007636254</v>
      </c>
      <c r="K357">
        <v>9371</v>
      </c>
      <c r="L357">
        <v>6561262.7</v>
      </c>
      <c r="M357">
        <v>50159.71</v>
      </c>
      <c r="N357">
        <v>870</v>
      </c>
      <c r="O357">
        <v>8152770</v>
      </c>
      <c r="P357">
        <v>62256.62</v>
      </c>
      <c r="Q357">
        <v>0</v>
      </c>
      <c r="R357">
        <v>0</v>
      </c>
      <c r="S357">
        <v>0.034</v>
      </c>
      <c r="T357" t="s">
        <v>31</v>
      </c>
    </row>
    <row r="358" spans="1:20" ht="15">
      <c r="A358" t="s">
        <v>19</v>
      </c>
      <c r="B358" t="s">
        <v>20</v>
      </c>
      <c r="C358" t="str">
        <f t="shared" si="5"/>
        <v>31-Dec-21</v>
      </c>
      <c r="D358" t="s">
        <v>21</v>
      </c>
      <c r="E358" t="s">
        <v>28</v>
      </c>
      <c r="F358" t="str">
        <f>"6421553"</f>
        <v>6421553</v>
      </c>
      <c r="G358" t="s">
        <v>384</v>
      </c>
      <c r="I358" t="s">
        <v>30</v>
      </c>
      <c r="J358">
        <v>0.007636254</v>
      </c>
      <c r="K358">
        <v>101210</v>
      </c>
      <c r="L358">
        <v>65513627.23</v>
      </c>
      <c r="M358">
        <v>508112.79</v>
      </c>
      <c r="N358">
        <v>447.4</v>
      </c>
      <c r="O358">
        <v>45281354</v>
      </c>
      <c r="P358">
        <v>345779.91</v>
      </c>
      <c r="Q358">
        <v>0</v>
      </c>
      <c r="R358">
        <v>0</v>
      </c>
      <c r="S358">
        <v>0.191</v>
      </c>
      <c r="T358" t="s">
        <v>31</v>
      </c>
    </row>
    <row r="359" spans="1:20" ht="15">
      <c r="A359" t="s">
        <v>19</v>
      </c>
      <c r="B359" t="s">
        <v>20</v>
      </c>
      <c r="C359" t="str">
        <f t="shared" si="5"/>
        <v>31-Dec-21</v>
      </c>
      <c r="D359" t="s">
        <v>21</v>
      </c>
      <c r="E359" t="s">
        <v>28</v>
      </c>
      <c r="F359" t="str">
        <f>"6044132"</f>
        <v>6044132</v>
      </c>
      <c r="G359" t="s">
        <v>385</v>
      </c>
      <c r="I359" t="s">
        <v>30</v>
      </c>
      <c r="J359">
        <v>0.007636254</v>
      </c>
      <c r="K359">
        <v>2400</v>
      </c>
      <c r="L359">
        <v>4202613.5</v>
      </c>
      <c r="M359">
        <v>31051.47</v>
      </c>
      <c r="N359">
        <v>1879</v>
      </c>
      <c r="O359">
        <v>4509600</v>
      </c>
      <c r="P359">
        <v>34436.45</v>
      </c>
      <c r="Q359">
        <v>0</v>
      </c>
      <c r="R359">
        <v>0</v>
      </c>
      <c r="S359">
        <v>0.019</v>
      </c>
      <c r="T359" t="s">
        <v>31</v>
      </c>
    </row>
    <row r="360" spans="1:20" ht="15">
      <c r="A360" t="s">
        <v>19</v>
      </c>
      <c r="B360" t="s">
        <v>20</v>
      </c>
      <c r="C360" t="str">
        <f t="shared" si="5"/>
        <v>31-Dec-21</v>
      </c>
      <c r="D360" t="s">
        <v>21</v>
      </c>
      <c r="E360" t="s">
        <v>28</v>
      </c>
      <c r="F360" t="str">
        <f>"6738220"</f>
        <v>6738220</v>
      </c>
      <c r="G360" t="s">
        <v>386</v>
      </c>
      <c r="I360" t="s">
        <v>30</v>
      </c>
      <c r="J360">
        <v>0.007636254</v>
      </c>
      <c r="K360">
        <v>30200</v>
      </c>
      <c r="L360">
        <v>36715490.04</v>
      </c>
      <c r="M360">
        <v>279138.37</v>
      </c>
      <c r="N360">
        <v>1071</v>
      </c>
      <c r="O360">
        <v>32344200</v>
      </c>
      <c r="P360">
        <v>246988.52</v>
      </c>
      <c r="Q360">
        <v>0</v>
      </c>
      <c r="R360">
        <v>0</v>
      </c>
      <c r="S360">
        <v>0.136</v>
      </c>
      <c r="T360" t="s">
        <v>31</v>
      </c>
    </row>
    <row r="361" spans="1:20" ht="15">
      <c r="A361" t="s">
        <v>19</v>
      </c>
      <c r="B361" t="s">
        <v>20</v>
      </c>
      <c r="C361" t="str">
        <f t="shared" si="5"/>
        <v>31-Dec-21</v>
      </c>
      <c r="D361" t="s">
        <v>21</v>
      </c>
      <c r="E361" t="s">
        <v>28</v>
      </c>
      <c r="F361" t="str">
        <f>"6740582"</f>
        <v>6740582</v>
      </c>
      <c r="G361" t="s">
        <v>387</v>
      </c>
      <c r="I361" t="s">
        <v>30</v>
      </c>
      <c r="J361">
        <v>0.007636254</v>
      </c>
      <c r="K361">
        <v>1700</v>
      </c>
      <c r="L361">
        <v>11927343.96</v>
      </c>
      <c r="M361">
        <v>95821.23</v>
      </c>
      <c r="N361">
        <v>10380</v>
      </c>
      <c r="O361">
        <v>17646000</v>
      </c>
      <c r="P361">
        <v>134749.33</v>
      </c>
      <c r="Q361">
        <v>0</v>
      </c>
      <c r="R361">
        <v>0</v>
      </c>
      <c r="S361">
        <v>0.074</v>
      </c>
      <c r="T361" t="s">
        <v>31</v>
      </c>
    </row>
    <row r="362" spans="1:20" ht="15">
      <c r="A362" t="s">
        <v>19</v>
      </c>
      <c r="B362" t="s">
        <v>20</v>
      </c>
      <c r="C362" t="str">
        <f t="shared" si="5"/>
        <v>31-Dec-21</v>
      </c>
      <c r="D362" t="s">
        <v>21</v>
      </c>
      <c r="E362" t="s">
        <v>28</v>
      </c>
      <c r="F362" t="str">
        <f>"6747204"</f>
        <v>6747204</v>
      </c>
      <c r="G362" t="s">
        <v>388</v>
      </c>
      <c r="I362" t="s">
        <v>30</v>
      </c>
      <c r="J362">
        <v>0.007636254</v>
      </c>
      <c r="K362">
        <v>3800</v>
      </c>
      <c r="L362">
        <v>25582694.23</v>
      </c>
      <c r="M362">
        <v>194452.65</v>
      </c>
      <c r="N362">
        <v>10470</v>
      </c>
      <c r="O362">
        <v>39786000</v>
      </c>
      <c r="P362">
        <v>303815.99</v>
      </c>
      <c r="Q362">
        <v>0</v>
      </c>
      <c r="R362">
        <v>0</v>
      </c>
      <c r="S362">
        <v>0.167</v>
      </c>
      <c r="T362" t="s">
        <v>31</v>
      </c>
    </row>
    <row r="363" spans="1:20" ht="15">
      <c r="A363" t="s">
        <v>19</v>
      </c>
      <c r="B363" t="s">
        <v>20</v>
      </c>
      <c r="C363" t="str">
        <f t="shared" si="5"/>
        <v>31-Dec-21</v>
      </c>
      <c r="D363" t="s">
        <v>21</v>
      </c>
      <c r="E363" t="s">
        <v>28</v>
      </c>
      <c r="F363" t="str">
        <f>"6747367"</f>
        <v>6747367</v>
      </c>
      <c r="G363" t="s">
        <v>389</v>
      </c>
      <c r="I363" t="s">
        <v>30</v>
      </c>
      <c r="J363">
        <v>0.007636254</v>
      </c>
      <c r="K363">
        <v>4419</v>
      </c>
      <c r="L363">
        <v>6360534.53</v>
      </c>
      <c r="M363">
        <v>55470.84</v>
      </c>
      <c r="N363">
        <v>3475</v>
      </c>
      <c r="O363">
        <v>15356025</v>
      </c>
      <c r="P363">
        <v>117262.5</v>
      </c>
      <c r="Q363">
        <v>0</v>
      </c>
      <c r="R363">
        <v>0</v>
      </c>
      <c r="S363">
        <v>0.065</v>
      </c>
      <c r="T363" t="s">
        <v>31</v>
      </c>
    </row>
    <row r="364" spans="1:20" ht="15">
      <c r="A364" t="s">
        <v>19</v>
      </c>
      <c r="B364" t="s">
        <v>20</v>
      </c>
      <c r="C364" t="str">
        <f t="shared" si="5"/>
        <v>31-Dec-21</v>
      </c>
      <c r="D364" t="s">
        <v>21</v>
      </c>
      <c r="E364" t="s">
        <v>28</v>
      </c>
      <c r="F364" t="str">
        <f>"6758455"</f>
        <v>6758455</v>
      </c>
      <c r="G364" t="s">
        <v>390</v>
      </c>
      <c r="I364" t="s">
        <v>30</v>
      </c>
      <c r="J364">
        <v>0.007636254</v>
      </c>
      <c r="K364">
        <v>11200</v>
      </c>
      <c r="L364">
        <v>17666704.41</v>
      </c>
      <c r="M364">
        <v>137437.98</v>
      </c>
      <c r="N364">
        <v>1754</v>
      </c>
      <c r="O364">
        <v>19644800</v>
      </c>
      <c r="P364">
        <v>150012.68</v>
      </c>
      <c r="Q364">
        <v>0</v>
      </c>
      <c r="R364">
        <v>0</v>
      </c>
      <c r="S364">
        <v>0.083</v>
      </c>
      <c r="T364" t="s">
        <v>31</v>
      </c>
    </row>
    <row r="365" spans="1:20" ht="15">
      <c r="A365" t="s">
        <v>19</v>
      </c>
      <c r="B365" t="s">
        <v>20</v>
      </c>
      <c r="C365" t="str">
        <f t="shared" si="5"/>
        <v>31-Dec-21</v>
      </c>
      <c r="D365" t="s">
        <v>21</v>
      </c>
      <c r="E365" t="s">
        <v>28</v>
      </c>
      <c r="F365" t="str">
        <f>"6309466"</f>
        <v>6309466</v>
      </c>
      <c r="G365" t="s">
        <v>391</v>
      </c>
      <c r="I365" t="s">
        <v>30</v>
      </c>
      <c r="J365">
        <v>0.007636254</v>
      </c>
      <c r="K365">
        <v>11208</v>
      </c>
      <c r="L365">
        <v>19727330.72</v>
      </c>
      <c r="M365">
        <v>149199.66</v>
      </c>
      <c r="N365">
        <v>3135</v>
      </c>
      <c r="O365">
        <v>35137080</v>
      </c>
      <c r="P365">
        <v>268315.66</v>
      </c>
      <c r="Q365">
        <v>0</v>
      </c>
      <c r="R365">
        <v>0</v>
      </c>
      <c r="S365">
        <v>0.148</v>
      </c>
      <c r="T365" t="s">
        <v>31</v>
      </c>
    </row>
    <row r="366" spans="1:20" ht="15">
      <c r="A366" t="s">
        <v>19</v>
      </c>
      <c r="B366" t="s">
        <v>20</v>
      </c>
      <c r="C366" t="str">
        <f t="shared" si="5"/>
        <v>31-Dec-21</v>
      </c>
      <c r="D366" t="s">
        <v>21</v>
      </c>
      <c r="E366" t="s">
        <v>28</v>
      </c>
      <c r="F366" t="str">
        <f>"6251028"</f>
        <v>6251028</v>
      </c>
      <c r="G366" t="s">
        <v>392</v>
      </c>
      <c r="I366" t="s">
        <v>30</v>
      </c>
      <c r="J366">
        <v>0.007636254</v>
      </c>
      <c r="K366">
        <v>1800</v>
      </c>
      <c r="L366">
        <v>7710548.13</v>
      </c>
      <c r="M366">
        <v>60631.94</v>
      </c>
      <c r="N366">
        <v>12370</v>
      </c>
      <c r="O366">
        <v>22266000</v>
      </c>
      <c r="P366">
        <v>170028.83</v>
      </c>
      <c r="Q366">
        <v>0</v>
      </c>
      <c r="R366">
        <v>0</v>
      </c>
      <c r="S366">
        <v>0.094</v>
      </c>
      <c r="T366" t="s">
        <v>31</v>
      </c>
    </row>
    <row r="367" spans="1:20" ht="15">
      <c r="A367" t="s">
        <v>19</v>
      </c>
      <c r="B367" t="s">
        <v>20</v>
      </c>
      <c r="C367" t="str">
        <f t="shared" si="5"/>
        <v>31-Dec-21</v>
      </c>
      <c r="D367" t="s">
        <v>21</v>
      </c>
      <c r="E367" t="s">
        <v>28</v>
      </c>
      <c r="F367" t="str">
        <f>"6858474"</f>
        <v>6858474</v>
      </c>
      <c r="G367" t="s">
        <v>393</v>
      </c>
      <c r="I367" t="s">
        <v>30</v>
      </c>
      <c r="J367">
        <v>0.007636254</v>
      </c>
      <c r="K367">
        <v>5400</v>
      </c>
      <c r="L367">
        <v>5372353.93</v>
      </c>
      <c r="M367">
        <v>42443.37</v>
      </c>
      <c r="N367">
        <v>2289</v>
      </c>
      <c r="O367">
        <v>12360600</v>
      </c>
      <c r="P367">
        <v>94388.68</v>
      </c>
      <c r="Q367">
        <v>0</v>
      </c>
      <c r="R367">
        <v>0</v>
      </c>
      <c r="S367">
        <v>0.052</v>
      </c>
      <c r="T367" t="s">
        <v>31</v>
      </c>
    </row>
    <row r="368" spans="1:20" ht="15">
      <c r="A368" t="s">
        <v>19</v>
      </c>
      <c r="B368" t="s">
        <v>20</v>
      </c>
      <c r="C368" t="str">
        <f t="shared" si="5"/>
        <v>31-Dec-21</v>
      </c>
      <c r="D368" t="s">
        <v>21</v>
      </c>
      <c r="E368" t="s">
        <v>28</v>
      </c>
      <c r="F368" t="str">
        <f>"BFFY885"</f>
        <v>BFFY885</v>
      </c>
      <c r="G368" t="s">
        <v>394</v>
      </c>
      <c r="I368" t="s">
        <v>30</v>
      </c>
      <c r="J368">
        <v>0.007636254</v>
      </c>
      <c r="K368">
        <v>19500</v>
      </c>
      <c r="L368">
        <v>24863287.72</v>
      </c>
      <c r="M368">
        <v>194053.83</v>
      </c>
      <c r="N368">
        <v>2693</v>
      </c>
      <c r="O368">
        <v>52513500</v>
      </c>
      <c r="P368">
        <v>401006.41</v>
      </c>
      <c r="Q368">
        <v>0</v>
      </c>
      <c r="R368">
        <v>0</v>
      </c>
      <c r="S368">
        <v>0.221</v>
      </c>
      <c r="T368" t="s">
        <v>31</v>
      </c>
    </row>
    <row r="369" spans="1:20" ht="15">
      <c r="A369" t="s">
        <v>19</v>
      </c>
      <c r="B369" t="s">
        <v>20</v>
      </c>
      <c r="C369" t="str">
        <f t="shared" si="5"/>
        <v>31-Dec-21</v>
      </c>
      <c r="D369" t="s">
        <v>21</v>
      </c>
      <c r="E369" t="s">
        <v>28</v>
      </c>
      <c r="F369" t="str">
        <f>"BRJQJX3"</f>
        <v>BRJQJX3</v>
      </c>
      <c r="G369" t="s">
        <v>395</v>
      </c>
      <c r="I369" t="s">
        <v>30</v>
      </c>
      <c r="J369">
        <v>0.007636254</v>
      </c>
      <c r="K369">
        <v>500</v>
      </c>
      <c r="L369">
        <v>14036509.17</v>
      </c>
      <c r="M369">
        <v>108749.63</v>
      </c>
      <c r="N369">
        <v>23860</v>
      </c>
      <c r="O369">
        <v>11930000</v>
      </c>
      <c r="P369">
        <v>91100.51</v>
      </c>
      <c r="Q369">
        <v>0</v>
      </c>
      <c r="R369">
        <v>0</v>
      </c>
      <c r="S369">
        <v>0.05</v>
      </c>
      <c r="T369" t="s">
        <v>31</v>
      </c>
    </row>
    <row r="370" spans="1:20" ht="15">
      <c r="A370" t="s">
        <v>19</v>
      </c>
      <c r="B370" t="s">
        <v>20</v>
      </c>
      <c r="C370" t="str">
        <f t="shared" si="5"/>
        <v>31-Dec-21</v>
      </c>
      <c r="D370" t="s">
        <v>21</v>
      </c>
      <c r="E370" t="s">
        <v>28</v>
      </c>
      <c r="F370" t="str">
        <f>"B29T1W0"</f>
        <v>B29T1W0</v>
      </c>
      <c r="G370" t="s">
        <v>396</v>
      </c>
      <c r="I370" t="s">
        <v>30</v>
      </c>
      <c r="J370">
        <v>0.007636254</v>
      </c>
      <c r="K370">
        <v>2000</v>
      </c>
      <c r="L370">
        <v>8229951.2</v>
      </c>
      <c r="M370">
        <v>65537.94</v>
      </c>
      <c r="N370">
        <v>5170</v>
      </c>
      <c r="O370">
        <v>10340000</v>
      </c>
      <c r="P370">
        <v>78958.86</v>
      </c>
      <c r="Q370">
        <v>85000</v>
      </c>
      <c r="R370">
        <v>649.09</v>
      </c>
      <c r="S370">
        <v>0.044</v>
      </c>
      <c r="T370" t="s">
        <v>31</v>
      </c>
    </row>
    <row r="371" spans="1:20" ht="15">
      <c r="A371" t="s">
        <v>19</v>
      </c>
      <c r="B371" t="s">
        <v>20</v>
      </c>
      <c r="C371" t="str">
        <f t="shared" si="5"/>
        <v>31-Dec-21</v>
      </c>
      <c r="D371" t="s">
        <v>21</v>
      </c>
      <c r="E371" t="s">
        <v>28</v>
      </c>
      <c r="F371" t="str">
        <f>"6763965"</f>
        <v>6763965</v>
      </c>
      <c r="G371" t="s">
        <v>397</v>
      </c>
      <c r="I371" t="s">
        <v>30</v>
      </c>
      <c r="J371">
        <v>0.007636254</v>
      </c>
      <c r="K371">
        <v>2600</v>
      </c>
      <c r="L371">
        <v>59835682.61</v>
      </c>
      <c r="M371">
        <v>478245.15</v>
      </c>
      <c r="N371">
        <v>77590</v>
      </c>
      <c r="O371">
        <v>201734000</v>
      </c>
      <c r="P371">
        <v>1540492.01</v>
      </c>
      <c r="Q371">
        <v>0</v>
      </c>
      <c r="R371">
        <v>0</v>
      </c>
      <c r="S371">
        <v>0.849</v>
      </c>
      <c r="T371" t="s">
        <v>31</v>
      </c>
    </row>
    <row r="372" spans="1:20" ht="15">
      <c r="A372" t="s">
        <v>19</v>
      </c>
      <c r="B372" t="s">
        <v>20</v>
      </c>
      <c r="C372" t="str">
        <f t="shared" si="5"/>
        <v>31-Dec-21</v>
      </c>
      <c r="D372" t="s">
        <v>21</v>
      </c>
      <c r="E372" t="s">
        <v>28</v>
      </c>
      <c r="F372" t="str">
        <f>"B2PLYM1"</f>
        <v>B2PLYM1</v>
      </c>
      <c r="G372" t="s">
        <v>398</v>
      </c>
      <c r="I372" t="s">
        <v>30</v>
      </c>
      <c r="J372">
        <v>0.007636254</v>
      </c>
      <c r="K372">
        <v>2200</v>
      </c>
      <c r="L372">
        <v>5150594.78</v>
      </c>
      <c r="M372">
        <v>42794.2</v>
      </c>
      <c r="N372">
        <v>4530</v>
      </c>
      <c r="O372">
        <v>9966000</v>
      </c>
      <c r="P372">
        <v>76102.9</v>
      </c>
      <c r="Q372">
        <v>0</v>
      </c>
      <c r="R372">
        <v>0</v>
      </c>
      <c r="S372">
        <v>0.042</v>
      </c>
      <c r="T372" t="s">
        <v>31</v>
      </c>
    </row>
    <row r="373" spans="1:20" ht="15">
      <c r="A373" t="s">
        <v>19</v>
      </c>
      <c r="B373" t="s">
        <v>20</v>
      </c>
      <c r="C373" t="str">
        <f t="shared" si="5"/>
        <v>31-Dec-21</v>
      </c>
      <c r="D373" t="s">
        <v>21</v>
      </c>
      <c r="E373" t="s">
        <v>28</v>
      </c>
      <c r="F373" t="str">
        <f>"B0M0C89"</f>
        <v>B0M0C89</v>
      </c>
      <c r="G373" t="s">
        <v>399</v>
      </c>
      <c r="I373" t="s">
        <v>30</v>
      </c>
      <c r="J373">
        <v>0.007636254</v>
      </c>
      <c r="K373">
        <v>12440</v>
      </c>
      <c r="L373">
        <v>26465888.5</v>
      </c>
      <c r="M373">
        <v>194066.67</v>
      </c>
      <c r="N373">
        <v>2349</v>
      </c>
      <c r="O373">
        <v>29221560</v>
      </c>
      <c r="P373">
        <v>223143.25</v>
      </c>
      <c r="Q373">
        <v>200906</v>
      </c>
      <c r="R373">
        <v>1534.16</v>
      </c>
      <c r="S373">
        <v>0.124</v>
      </c>
      <c r="T373" t="s">
        <v>31</v>
      </c>
    </row>
    <row r="374" spans="1:20" ht="15">
      <c r="A374" t="s">
        <v>19</v>
      </c>
      <c r="B374" t="s">
        <v>20</v>
      </c>
      <c r="C374" t="str">
        <f t="shared" si="5"/>
        <v>31-Dec-21</v>
      </c>
      <c r="D374" t="s">
        <v>21</v>
      </c>
      <c r="E374" t="s">
        <v>28</v>
      </c>
      <c r="F374" t="str">
        <f>"6775432"</f>
        <v>6775432</v>
      </c>
      <c r="G374" t="s">
        <v>400</v>
      </c>
      <c r="I374" t="s">
        <v>30</v>
      </c>
      <c r="J374">
        <v>0.007636254</v>
      </c>
      <c r="K374">
        <v>2200</v>
      </c>
      <c r="L374">
        <v>9918119.99</v>
      </c>
      <c r="M374">
        <v>77766.97</v>
      </c>
      <c r="N374">
        <v>2981</v>
      </c>
      <c r="O374">
        <v>6558200</v>
      </c>
      <c r="P374">
        <v>50080.08</v>
      </c>
      <c r="Q374">
        <v>0</v>
      </c>
      <c r="R374">
        <v>0</v>
      </c>
      <c r="S374">
        <v>0.028</v>
      </c>
      <c r="T374" t="s">
        <v>31</v>
      </c>
    </row>
    <row r="375" spans="1:20" ht="15">
      <c r="A375" t="s">
        <v>19</v>
      </c>
      <c r="B375" t="s">
        <v>20</v>
      </c>
      <c r="C375" t="str">
        <f t="shared" si="5"/>
        <v>31-Dec-21</v>
      </c>
      <c r="D375" t="s">
        <v>21</v>
      </c>
      <c r="E375" t="s">
        <v>28</v>
      </c>
      <c r="F375" t="str">
        <f>"6775380"</f>
        <v>6775380</v>
      </c>
      <c r="G375" t="s">
        <v>401</v>
      </c>
      <c r="I375" t="s">
        <v>30</v>
      </c>
      <c r="J375">
        <v>0.007636254</v>
      </c>
      <c r="K375">
        <v>2500</v>
      </c>
      <c r="L375">
        <v>11027204.69</v>
      </c>
      <c r="M375">
        <v>83005.75</v>
      </c>
      <c r="N375">
        <v>4770</v>
      </c>
      <c r="O375">
        <v>11925000</v>
      </c>
      <c r="P375">
        <v>91062.33</v>
      </c>
      <c r="Q375">
        <v>0</v>
      </c>
      <c r="R375">
        <v>0</v>
      </c>
      <c r="S375">
        <v>0.05</v>
      </c>
      <c r="T375" t="s">
        <v>31</v>
      </c>
    </row>
    <row r="376" spans="1:20" ht="15">
      <c r="A376" t="s">
        <v>19</v>
      </c>
      <c r="B376" t="s">
        <v>20</v>
      </c>
      <c r="C376" t="str">
        <f t="shared" si="5"/>
        <v>31-Dec-21</v>
      </c>
      <c r="D376" t="s">
        <v>21</v>
      </c>
      <c r="E376" t="s">
        <v>28</v>
      </c>
      <c r="F376" t="str">
        <f>"BJYJG18"</f>
        <v>BJYJG18</v>
      </c>
      <c r="G376" t="s">
        <v>402</v>
      </c>
      <c r="I376" t="s">
        <v>30</v>
      </c>
      <c r="J376">
        <v>0.007636254</v>
      </c>
      <c r="K376">
        <v>4000</v>
      </c>
      <c r="L376">
        <v>12845260</v>
      </c>
      <c r="M376">
        <v>99520.28</v>
      </c>
      <c r="N376">
        <v>2507</v>
      </c>
      <c r="O376">
        <v>10028000</v>
      </c>
      <c r="P376">
        <v>76576.35</v>
      </c>
      <c r="Q376">
        <v>0</v>
      </c>
      <c r="R376">
        <v>0</v>
      </c>
      <c r="S376">
        <v>0.042</v>
      </c>
      <c r="T376" t="s">
        <v>31</v>
      </c>
    </row>
    <row r="377" spans="1:20" ht="15">
      <c r="A377" t="s">
        <v>19</v>
      </c>
      <c r="B377" t="s">
        <v>20</v>
      </c>
      <c r="C377" t="str">
        <f t="shared" si="5"/>
        <v>31-Dec-21</v>
      </c>
      <c r="D377" t="s">
        <v>21</v>
      </c>
      <c r="E377" t="s">
        <v>28</v>
      </c>
      <c r="F377" t="str">
        <f>"6776606"</f>
        <v>6776606</v>
      </c>
      <c r="G377" t="s">
        <v>403</v>
      </c>
      <c r="I377" t="s">
        <v>30</v>
      </c>
      <c r="J377">
        <v>0.007636254</v>
      </c>
      <c r="K377">
        <v>16700</v>
      </c>
      <c r="L377">
        <v>15343204.28</v>
      </c>
      <c r="M377">
        <v>123843.09</v>
      </c>
      <c r="N377">
        <v>1407</v>
      </c>
      <c r="O377">
        <v>23496900</v>
      </c>
      <c r="P377">
        <v>179428.29</v>
      </c>
      <c r="Q377">
        <v>0</v>
      </c>
      <c r="R377">
        <v>0</v>
      </c>
      <c r="S377">
        <v>0.099</v>
      </c>
      <c r="T377" t="s">
        <v>31</v>
      </c>
    </row>
    <row r="378" spans="1:20" ht="15">
      <c r="A378" t="s">
        <v>19</v>
      </c>
      <c r="B378" t="s">
        <v>20</v>
      </c>
      <c r="C378" t="str">
        <f t="shared" si="5"/>
        <v>31-Dec-21</v>
      </c>
      <c r="D378" t="s">
        <v>21</v>
      </c>
      <c r="E378" t="s">
        <v>28</v>
      </c>
      <c r="F378" t="str">
        <f>"6776781"</f>
        <v>6776781</v>
      </c>
      <c r="G378" t="s">
        <v>404</v>
      </c>
      <c r="I378" t="s">
        <v>30</v>
      </c>
      <c r="J378">
        <v>0.007636254</v>
      </c>
      <c r="K378">
        <v>9900</v>
      </c>
      <c r="L378">
        <v>9508567.48</v>
      </c>
      <c r="M378">
        <v>74520.27</v>
      </c>
      <c r="N378">
        <v>1227</v>
      </c>
      <c r="O378">
        <v>12147300</v>
      </c>
      <c r="P378">
        <v>92759.86</v>
      </c>
      <c r="Q378">
        <v>0</v>
      </c>
      <c r="R378">
        <v>0</v>
      </c>
      <c r="S378">
        <v>0.051</v>
      </c>
      <c r="T378" t="s">
        <v>31</v>
      </c>
    </row>
    <row r="379" spans="1:20" ht="15">
      <c r="A379" t="s">
        <v>19</v>
      </c>
      <c r="B379" t="s">
        <v>20</v>
      </c>
      <c r="C379" t="str">
        <f t="shared" si="5"/>
        <v>31-Dec-21</v>
      </c>
      <c r="D379" t="s">
        <v>21</v>
      </c>
      <c r="E379" t="s">
        <v>28</v>
      </c>
      <c r="F379" t="str">
        <f>"6776907"</f>
        <v>6776907</v>
      </c>
      <c r="G379" t="s">
        <v>405</v>
      </c>
      <c r="I379" t="s">
        <v>30</v>
      </c>
      <c r="J379">
        <v>0.007636254</v>
      </c>
      <c r="K379">
        <v>2700</v>
      </c>
      <c r="L379">
        <v>6713958.04</v>
      </c>
      <c r="M379">
        <v>53756.5</v>
      </c>
      <c r="N379">
        <v>2183</v>
      </c>
      <c r="O379">
        <v>5894100</v>
      </c>
      <c r="P379">
        <v>45008.84</v>
      </c>
      <c r="Q379">
        <v>96390</v>
      </c>
      <c r="R379">
        <v>736.06</v>
      </c>
      <c r="S379">
        <v>0.025</v>
      </c>
      <c r="T379" t="s">
        <v>31</v>
      </c>
    </row>
    <row r="380" spans="1:20" ht="15">
      <c r="A380" t="s">
        <v>19</v>
      </c>
      <c r="B380" t="s">
        <v>20</v>
      </c>
      <c r="C380" t="str">
        <f t="shared" si="5"/>
        <v>31-Dec-21</v>
      </c>
      <c r="D380" t="s">
        <v>21</v>
      </c>
      <c r="E380" t="s">
        <v>28</v>
      </c>
      <c r="F380" t="str">
        <f>"BMC9NN2"</f>
        <v>BMC9NN2</v>
      </c>
      <c r="G380" t="s">
        <v>406</v>
      </c>
      <c r="I380" t="s">
        <v>30</v>
      </c>
      <c r="J380">
        <v>0.007636254</v>
      </c>
      <c r="K380">
        <v>1636</v>
      </c>
      <c r="L380">
        <v>9010184.5</v>
      </c>
      <c r="M380">
        <v>69590.1</v>
      </c>
      <c r="N380">
        <v>4395</v>
      </c>
      <c r="O380">
        <v>7190220</v>
      </c>
      <c r="P380">
        <v>54906.34</v>
      </c>
      <c r="Q380">
        <v>0</v>
      </c>
      <c r="R380">
        <v>0</v>
      </c>
      <c r="S380">
        <v>0.03</v>
      </c>
      <c r="T380" t="s">
        <v>31</v>
      </c>
    </row>
    <row r="381" spans="1:20" ht="15">
      <c r="A381" t="s">
        <v>19</v>
      </c>
      <c r="B381" t="s">
        <v>20</v>
      </c>
      <c r="C381" t="str">
        <f t="shared" si="5"/>
        <v>31-Dec-21</v>
      </c>
      <c r="D381" t="s">
        <v>21</v>
      </c>
      <c r="E381" t="s">
        <v>28</v>
      </c>
      <c r="F381" t="str">
        <f>"6791591"</f>
        <v>6791591</v>
      </c>
      <c r="G381" t="s">
        <v>407</v>
      </c>
      <c r="I381" t="s">
        <v>30</v>
      </c>
      <c r="J381">
        <v>0.007636254</v>
      </c>
      <c r="K381">
        <v>9100</v>
      </c>
      <c r="L381">
        <v>58442568.79</v>
      </c>
      <c r="M381">
        <v>454284.54</v>
      </c>
      <c r="N381">
        <v>7986</v>
      </c>
      <c r="O381">
        <v>72672600</v>
      </c>
      <c r="P381">
        <v>554946.41</v>
      </c>
      <c r="Q381">
        <v>0</v>
      </c>
      <c r="R381">
        <v>0</v>
      </c>
      <c r="S381">
        <v>0.306</v>
      </c>
      <c r="T381" t="s">
        <v>31</v>
      </c>
    </row>
    <row r="382" spans="1:20" ht="15">
      <c r="A382" t="s">
        <v>19</v>
      </c>
      <c r="B382" t="s">
        <v>20</v>
      </c>
      <c r="C382" t="str">
        <f t="shared" si="5"/>
        <v>31-Dec-21</v>
      </c>
      <c r="D382" t="s">
        <v>21</v>
      </c>
      <c r="E382" t="s">
        <v>28</v>
      </c>
      <c r="F382" t="str">
        <f>"B02RK08"</f>
        <v>B02RK08</v>
      </c>
      <c r="G382" t="s">
        <v>408</v>
      </c>
      <c r="I382" t="s">
        <v>30</v>
      </c>
      <c r="J382">
        <v>0.007636254</v>
      </c>
      <c r="K382">
        <v>8848</v>
      </c>
      <c r="L382">
        <v>15293384.45</v>
      </c>
      <c r="M382">
        <v>120893.88</v>
      </c>
      <c r="N382">
        <v>1807</v>
      </c>
      <c r="O382">
        <v>15988336</v>
      </c>
      <c r="P382">
        <v>122090.99</v>
      </c>
      <c r="Q382">
        <v>0</v>
      </c>
      <c r="R382">
        <v>0</v>
      </c>
      <c r="S382">
        <v>0.067</v>
      </c>
      <c r="T382" t="s">
        <v>31</v>
      </c>
    </row>
    <row r="383" spans="1:20" ht="15">
      <c r="A383" t="s">
        <v>19</v>
      </c>
      <c r="B383" t="s">
        <v>20</v>
      </c>
      <c r="C383" t="str">
        <f t="shared" si="5"/>
        <v>31-Dec-21</v>
      </c>
      <c r="D383" t="s">
        <v>21</v>
      </c>
      <c r="E383" t="s">
        <v>28</v>
      </c>
      <c r="F383" t="str">
        <f>"BKY6H35"</f>
        <v>BKY6H35</v>
      </c>
      <c r="G383" t="s">
        <v>409</v>
      </c>
      <c r="I383" t="s">
        <v>30</v>
      </c>
      <c r="J383">
        <v>0.007636254</v>
      </c>
      <c r="K383">
        <v>8900</v>
      </c>
      <c r="L383">
        <v>18342549.56</v>
      </c>
      <c r="M383">
        <v>138253.43</v>
      </c>
      <c r="N383">
        <v>1076</v>
      </c>
      <c r="O383">
        <v>9576400</v>
      </c>
      <c r="P383">
        <v>73127.82</v>
      </c>
      <c r="Q383">
        <v>0</v>
      </c>
      <c r="R383">
        <v>0</v>
      </c>
      <c r="S383">
        <v>0.04</v>
      </c>
      <c r="T383" t="s">
        <v>31</v>
      </c>
    </row>
    <row r="384" spans="1:20" ht="15">
      <c r="A384" t="s">
        <v>19</v>
      </c>
      <c r="B384" t="s">
        <v>20</v>
      </c>
      <c r="C384" t="str">
        <f t="shared" si="5"/>
        <v>31-Dec-21</v>
      </c>
      <c r="D384" t="s">
        <v>21</v>
      </c>
      <c r="E384" t="s">
        <v>28</v>
      </c>
      <c r="F384" t="str">
        <f>"6616508"</f>
        <v>6616508</v>
      </c>
      <c r="G384" t="s">
        <v>410</v>
      </c>
      <c r="I384" t="s">
        <v>30</v>
      </c>
      <c r="J384">
        <v>0.007636254</v>
      </c>
      <c r="K384">
        <v>12900</v>
      </c>
      <c r="L384">
        <v>18090763.94</v>
      </c>
      <c r="M384">
        <v>133897.65</v>
      </c>
      <c r="N384">
        <v>2071</v>
      </c>
      <c r="O384">
        <v>26715900</v>
      </c>
      <c r="P384">
        <v>204009.39</v>
      </c>
      <c r="Q384">
        <v>0</v>
      </c>
      <c r="R384">
        <v>0</v>
      </c>
      <c r="S384">
        <v>0.112</v>
      </c>
      <c r="T384" t="s">
        <v>31</v>
      </c>
    </row>
    <row r="385" spans="1:20" ht="15">
      <c r="A385" t="s">
        <v>19</v>
      </c>
      <c r="B385" t="s">
        <v>20</v>
      </c>
      <c r="C385" t="str">
        <f t="shared" si="5"/>
        <v>31-Dec-21</v>
      </c>
      <c r="D385" t="s">
        <v>21</v>
      </c>
      <c r="E385" t="s">
        <v>28</v>
      </c>
      <c r="F385" t="str">
        <f>"6793423"</f>
        <v>6793423</v>
      </c>
      <c r="G385" t="s">
        <v>411</v>
      </c>
      <c r="I385" t="s">
        <v>30</v>
      </c>
      <c r="J385">
        <v>0.007636254</v>
      </c>
      <c r="K385">
        <v>5600</v>
      </c>
      <c r="L385">
        <v>5550488.38</v>
      </c>
      <c r="M385">
        <v>40690.05</v>
      </c>
      <c r="N385">
        <v>1165</v>
      </c>
      <c r="O385">
        <v>6524000</v>
      </c>
      <c r="P385">
        <v>49818.92</v>
      </c>
      <c r="Q385">
        <v>0</v>
      </c>
      <c r="R385">
        <v>0</v>
      </c>
      <c r="S385">
        <v>0.027</v>
      </c>
      <c r="T385" t="s">
        <v>31</v>
      </c>
    </row>
    <row r="386" spans="1:20" ht="15">
      <c r="A386" t="s">
        <v>19</v>
      </c>
      <c r="B386" t="s">
        <v>20</v>
      </c>
      <c r="C386" t="str">
        <f aca="true" t="shared" si="6" ref="C386:C449">"31-Dec-21"</f>
        <v>31-Dec-21</v>
      </c>
      <c r="D386" t="s">
        <v>21</v>
      </c>
      <c r="E386" t="s">
        <v>28</v>
      </c>
      <c r="F386" t="str">
        <f>"6793821"</f>
        <v>6793821</v>
      </c>
      <c r="G386" t="s">
        <v>412</v>
      </c>
      <c r="I386" t="s">
        <v>30</v>
      </c>
      <c r="J386">
        <v>0.007636254</v>
      </c>
      <c r="K386">
        <v>16300</v>
      </c>
      <c r="L386">
        <v>25103954.28</v>
      </c>
      <c r="M386">
        <v>192731.08</v>
      </c>
      <c r="N386">
        <v>1922</v>
      </c>
      <c r="O386">
        <v>31328600</v>
      </c>
      <c r="P386">
        <v>239233.14</v>
      </c>
      <c r="Q386">
        <v>0</v>
      </c>
      <c r="R386">
        <v>0</v>
      </c>
      <c r="S386">
        <v>0.132</v>
      </c>
      <c r="T386" t="s">
        <v>31</v>
      </c>
    </row>
    <row r="387" spans="1:20" ht="15">
      <c r="A387" t="s">
        <v>19</v>
      </c>
      <c r="B387" t="s">
        <v>20</v>
      </c>
      <c r="C387" t="str">
        <f t="shared" si="6"/>
        <v>31-Dec-21</v>
      </c>
      <c r="D387" t="s">
        <v>21</v>
      </c>
      <c r="E387" t="s">
        <v>28</v>
      </c>
      <c r="F387" t="str">
        <f>"6793906"</f>
        <v>6793906</v>
      </c>
      <c r="G387" t="s">
        <v>413</v>
      </c>
      <c r="I387" t="s">
        <v>30</v>
      </c>
      <c r="J387">
        <v>0.007636254</v>
      </c>
      <c r="K387">
        <v>26700</v>
      </c>
      <c r="L387">
        <v>40362324.37</v>
      </c>
      <c r="M387">
        <v>311066.69</v>
      </c>
      <c r="N387">
        <v>2469</v>
      </c>
      <c r="O387">
        <v>65922300</v>
      </c>
      <c r="P387">
        <v>503399.41</v>
      </c>
      <c r="Q387">
        <v>0</v>
      </c>
      <c r="R387">
        <v>0</v>
      </c>
      <c r="S387">
        <v>0.278</v>
      </c>
      <c r="T387" t="s">
        <v>31</v>
      </c>
    </row>
    <row r="388" spans="1:20" ht="15">
      <c r="A388" t="s">
        <v>19</v>
      </c>
      <c r="B388" t="s">
        <v>20</v>
      </c>
      <c r="C388" t="str">
        <f t="shared" si="6"/>
        <v>31-Dec-21</v>
      </c>
      <c r="D388" t="s">
        <v>21</v>
      </c>
      <c r="E388" t="s">
        <v>28</v>
      </c>
      <c r="F388" t="str">
        <f>"BSKRKL7"</f>
        <v>BSKRKL7</v>
      </c>
      <c r="G388" t="s">
        <v>414</v>
      </c>
      <c r="I388" t="s">
        <v>30</v>
      </c>
      <c r="J388">
        <v>0.007636254</v>
      </c>
      <c r="K388">
        <v>187</v>
      </c>
      <c r="L388">
        <v>15247354.85</v>
      </c>
      <c r="M388">
        <v>119636.21</v>
      </c>
      <c r="N388">
        <v>85700</v>
      </c>
      <c r="O388">
        <v>16025900</v>
      </c>
      <c r="P388">
        <v>122377.84</v>
      </c>
      <c r="Q388">
        <v>286586.85</v>
      </c>
      <c r="R388">
        <v>2188.45</v>
      </c>
      <c r="S388">
        <v>0.069</v>
      </c>
      <c r="T388" t="s">
        <v>31</v>
      </c>
    </row>
    <row r="389" spans="1:20" ht="15">
      <c r="A389" t="s">
        <v>19</v>
      </c>
      <c r="B389" t="s">
        <v>20</v>
      </c>
      <c r="C389" t="str">
        <f t="shared" si="6"/>
        <v>31-Dec-21</v>
      </c>
      <c r="D389" t="s">
        <v>21</v>
      </c>
      <c r="E389" t="s">
        <v>28</v>
      </c>
      <c r="F389" t="str">
        <f>"B0FS5D6"</f>
        <v>B0FS5D6</v>
      </c>
      <c r="G389" t="s">
        <v>415</v>
      </c>
      <c r="I389" t="s">
        <v>30</v>
      </c>
      <c r="J389">
        <v>0.007636254</v>
      </c>
      <c r="K389">
        <v>36144</v>
      </c>
      <c r="L389">
        <v>127026167.63</v>
      </c>
      <c r="M389">
        <v>993672.23</v>
      </c>
      <c r="N389">
        <v>5056</v>
      </c>
      <c r="O389">
        <v>182744064</v>
      </c>
      <c r="P389">
        <v>1395480.04</v>
      </c>
      <c r="Q389">
        <v>0</v>
      </c>
      <c r="R389">
        <v>0</v>
      </c>
      <c r="S389">
        <v>0.769</v>
      </c>
      <c r="T389" t="s">
        <v>31</v>
      </c>
    </row>
    <row r="390" spans="1:20" ht="15">
      <c r="A390" t="s">
        <v>19</v>
      </c>
      <c r="B390" t="s">
        <v>20</v>
      </c>
      <c r="C390" t="str">
        <f t="shared" si="6"/>
        <v>31-Dec-21</v>
      </c>
      <c r="D390" t="s">
        <v>21</v>
      </c>
      <c r="E390" t="s">
        <v>28</v>
      </c>
      <c r="F390" t="str">
        <f>"B2NT8S1"</f>
        <v>B2NT8S1</v>
      </c>
      <c r="G390" t="s">
        <v>416</v>
      </c>
      <c r="I390" t="s">
        <v>30</v>
      </c>
      <c r="J390">
        <v>0.007636254</v>
      </c>
      <c r="K390">
        <v>28000</v>
      </c>
      <c r="L390">
        <v>10107406.26</v>
      </c>
      <c r="M390">
        <v>79369.52</v>
      </c>
      <c r="N390">
        <v>238</v>
      </c>
      <c r="O390">
        <v>6664000</v>
      </c>
      <c r="P390">
        <v>50887.99</v>
      </c>
      <c r="Q390">
        <v>0</v>
      </c>
      <c r="R390">
        <v>0</v>
      </c>
      <c r="S390">
        <v>0.028</v>
      </c>
      <c r="T390" t="s">
        <v>31</v>
      </c>
    </row>
    <row r="391" spans="1:20" ht="15">
      <c r="A391" t="s">
        <v>19</v>
      </c>
      <c r="B391" t="s">
        <v>20</v>
      </c>
      <c r="C391" t="str">
        <f t="shared" si="6"/>
        <v>31-Dec-21</v>
      </c>
      <c r="D391" t="s">
        <v>21</v>
      </c>
      <c r="E391" t="s">
        <v>28</v>
      </c>
      <c r="F391" t="str">
        <f>"6800602"</f>
        <v>6800602</v>
      </c>
      <c r="G391" t="s">
        <v>417</v>
      </c>
      <c r="I391" t="s">
        <v>30</v>
      </c>
      <c r="J391">
        <v>0.007636254</v>
      </c>
      <c r="K391">
        <v>9900</v>
      </c>
      <c r="L391">
        <v>54768564.59</v>
      </c>
      <c r="M391">
        <v>404722.11</v>
      </c>
      <c r="N391">
        <v>1321</v>
      </c>
      <c r="O391">
        <v>13077900</v>
      </c>
      <c r="P391">
        <v>99866.16</v>
      </c>
      <c r="Q391">
        <v>0</v>
      </c>
      <c r="R391">
        <v>0</v>
      </c>
      <c r="S391">
        <v>0.055</v>
      </c>
      <c r="T391" t="s">
        <v>31</v>
      </c>
    </row>
    <row r="392" spans="1:20" ht="15">
      <c r="A392" t="s">
        <v>19</v>
      </c>
      <c r="B392" t="s">
        <v>20</v>
      </c>
      <c r="C392" t="str">
        <f t="shared" si="6"/>
        <v>31-Dec-21</v>
      </c>
      <c r="D392" t="s">
        <v>21</v>
      </c>
      <c r="E392" t="s">
        <v>28</v>
      </c>
      <c r="F392" t="str">
        <f>"6804347"</f>
        <v>6804347</v>
      </c>
      <c r="G392" t="s">
        <v>418</v>
      </c>
      <c r="I392" t="s">
        <v>30</v>
      </c>
      <c r="J392">
        <v>0.007636254</v>
      </c>
      <c r="K392">
        <v>9800</v>
      </c>
      <c r="L392">
        <v>18246664.41</v>
      </c>
      <c r="M392">
        <v>143139.28</v>
      </c>
      <c r="N392">
        <v>810</v>
      </c>
      <c r="O392">
        <v>7938000</v>
      </c>
      <c r="P392">
        <v>60616.58</v>
      </c>
      <c r="Q392">
        <v>0</v>
      </c>
      <c r="R392">
        <v>0</v>
      </c>
      <c r="S392">
        <v>0.033</v>
      </c>
      <c r="T392" t="s">
        <v>31</v>
      </c>
    </row>
    <row r="393" spans="1:20" ht="15">
      <c r="A393" t="s">
        <v>19</v>
      </c>
      <c r="B393" t="s">
        <v>20</v>
      </c>
      <c r="C393" t="str">
        <f t="shared" si="6"/>
        <v>31-Dec-21</v>
      </c>
      <c r="D393" t="s">
        <v>21</v>
      </c>
      <c r="E393" t="s">
        <v>28</v>
      </c>
      <c r="F393" t="str">
        <f>"6804369"</f>
        <v>6804369</v>
      </c>
      <c r="G393" t="s">
        <v>419</v>
      </c>
      <c r="I393" t="s">
        <v>30</v>
      </c>
      <c r="J393">
        <v>0.007636254</v>
      </c>
      <c r="K393">
        <v>12500</v>
      </c>
      <c r="L393">
        <v>13544290.33</v>
      </c>
      <c r="M393">
        <v>105703.04</v>
      </c>
      <c r="N393">
        <v>4855</v>
      </c>
      <c r="O393">
        <v>60687500</v>
      </c>
      <c r="P393">
        <v>463425.15</v>
      </c>
      <c r="Q393">
        <v>0</v>
      </c>
      <c r="R393">
        <v>0</v>
      </c>
      <c r="S393">
        <v>0.255</v>
      </c>
      <c r="T393" t="s">
        <v>31</v>
      </c>
    </row>
    <row r="394" spans="1:20" ht="15">
      <c r="A394" t="s">
        <v>19</v>
      </c>
      <c r="B394" t="s">
        <v>20</v>
      </c>
      <c r="C394" t="str">
        <f t="shared" si="6"/>
        <v>31-Dec-21</v>
      </c>
      <c r="D394" t="s">
        <v>21</v>
      </c>
      <c r="E394" t="s">
        <v>28</v>
      </c>
      <c r="F394" t="str">
        <f>"6804035"</f>
        <v>6804035</v>
      </c>
      <c r="G394" t="s">
        <v>420</v>
      </c>
      <c r="I394" t="s">
        <v>30</v>
      </c>
      <c r="J394">
        <v>0.007636254</v>
      </c>
      <c r="K394">
        <v>1100</v>
      </c>
      <c r="L394">
        <v>12028880.2</v>
      </c>
      <c r="M394">
        <v>95592.68</v>
      </c>
      <c r="N394">
        <v>9660</v>
      </c>
      <c r="O394">
        <v>10626000</v>
      </c>
      <c r="P394">
        <v>81142.83</v>
      </c>
      <c r="Q394">
        <v>0</v>
      </c>
      <c r="R394">
        <v>0</v>
      </c>
      <c r="S394">
        <v>0.045</v>
      </c>
      <c r="T394" t="s">
        <v>31</v>
      </c>
    </row>
    <row r="395" spans="1:20" ht="15">
      <c r="A395" t="s">
        <v>19</v>
      </c>
      <c r="B395" t="s">
        <v>20</v>
      </c>
      <c r="C395" t="str">
        <f t="shared" si="6"/>
        <v>31-Dec-21</v>
      </c>
      <c r="D395" t="s">
        <v>21</v>
      </c>
      <c r="E395" t="s">
        <v>28</v>
      </c>
      <c r="F395" t="str">
        <f>"6804820"</f>
        <v>6804820</v>
      </c>
      <c r="G395" t="s">
        <v>421</v>
      </c>
      <c r="I395" t="s">
        <v>30</v>
      </c>
      <c r="J395">
        <v>0.007636254</v>
      </c>
      <c r="K395">
        <v>3600</v>
      </c>
      <c r="L395">
        <v>35510647.21</v>
      </c>
      <c r="M395">
        <v>275883.01</v>
      </c>
      <c r="N395">
        <v>30660</v>
      </c>
      <c r="O395">
        <v>110376000</v>
      </c>
      <c r="P395">
        <v>842859.14</v>
      </c>
      <c r="Q395">
        <v>359550</v>
      </c>
      <c r="R395">
        <v>2745.62</v>
      </c>
      <c r="S395">
        <v>0.466</v>
      </c>
      <c r="T395" t="s">
        <v>31</v>
      </c>
    </row>
    <row r="396" spans="1:20" ht="15">
      <c r="A396" t="s">
        <v>19</v>
      </c>
      <c r="B396" t="s">
        <v>20</v>
      </c>
      <c r="C396" t="str">
        <f t="shared" si="6"/>
        <v>31-Dec-21</v>
      </c>
      <c r="D396" t="s">
        <v>21</v>
      </c>
      <c r="E396" t="s">
        <v>28</v>
      </c>
      <c r="F396" t="str">
        <f>"6804400"</f>
        <v>6804400</v>
      </c>
      <c r="G396" t="s">
        <v>422</v>
      </c>
      <c r="I396" t="s">
        <v>30</v>
      </c>
      <c r="J396">
        <v>0.007636254</v>
      </c>
      <c r="K396">
        <v>25200</v>
      </c>
      <c r="L396">
        <v>14865086.01</v>
      </c>
      <c r="M396">
        <v>117216.99</v>
      </c>
      <c r="N396">
        <v>713</v>
      </c>
      <c r="O396">
        <v>17967600</v>
      </c>
      <c r="P396">
        <v>137205.15</v>
      </c>
      <c r="Q396">
        <v>0</v>
      </c>
      <c r="R396">
        <v>0</v>
      </c>
      <c r="S396">
        <v>0.076</v>
      </c>
      <c r="T396" t="s">
        <v>31</v>
      </c>
    </row>
    <row r="397" spans="1:20" ht="15">
      <c r="A397" t="s">
        <v>19</v>
      </c>
      <c r="B397" t="s">
        <v>20</v>
      </c>
      <c r="C397" t="str">
        <f t="shared" si="6"/>
        <v>31-Dec-21</v>
      </c>
      <c r="D397" t="s">
        <v>21</v>
      </c>
      <c r="E397" t="s">
        <v>28</v>
      </c>
      <c r="F397" t="str">
        <f>"6804585"</f>
        <v>6804585</v>
      </c>
      <c r="G397" t="s">
        <v>423</v>
      </c>
      <c r="I397" t="s">
        <v>30</v>
      </c>
      <c r="J397">
        <v>0.007636254</v>
      </c>
      <c r="K397">
        <v>18400</v>
      </c>
      <c r="L397">
        <v>130367009.72</v>
      </c>
      <c r="M397">
        <v>1021483.03</v>
      </c>
      <c r="N397">
        <v>19920</v>
      </c>
      <c r="O397">
        <v>366528000</v>
      </c>
      <c r="P397">
        <v>2798900.8</v>
      </c>
      <c r="Q397">
        <v>0</v>
      </c>
      <c r="R397">
        <v>0</v>
      </c>
      <c r="S397">
        <v>1.543</v>
      </c>
      <c r="T397" t="s">
        <v>31</v>
      </c>
    </row>
    <row r="398" spans="1:20" ht="15">
      <c r="A398" t="s">
        <v>19</v>
      </c>
      <c r="B398" t="s">
        <v>20</v>
      </c>
      <c r="C398" t="str">
        <f t="shared" si="6"/>
        <v>31-Dec-21</v>
      </c>
      <c r="D398" t="s">
        <v>21</v>
      </c>
      <c r="E398" t="s">
        <v>28</v>
      </c>
      <c r="F398" t="str">
        <f>"6804927"</f>
        <v>6804927</v>
      </c>
      <c r="G398" t="s">
        <v>424</v>
      </c>
      <c r="I398" t="s">
        <v>30</v>
      </c>
      <c r="J398">
        <v>0.007636254</v>
      </c>
      <c r="K398">
        <v>2900</v>
      </c>
      <c r="L398">
        <v>9148737.98</v>
      </c>
      <c r="M398">
        <v>70569.86</v>
      </c>
      <c r="N398">
        <v>5490</v>
      </c>
      <c r="O398">
        <v>15921000</v>
      </c>
      <c r="P398">
        <v>121576.8</v>
      </c>
      <c r="Q398">
        <v>0</v>
      </c>
      <c r="R398">
        <v>0</v>
      </c>
      <c r="S398">
        <v>0.067</v>
      </c>
      <c r="T398" t="s">
        <v>31</v>
      </c>
    </row>
    <row r="399" spans="1:20" ht="15">
      <c r="A399" t="s">
        <v>19</v>
      </c>
      <c r="B399" t="s">
        <v>20</v>
      </c>
      <c r="C399" t="str">
        <f t="shared" si="6"/>
        <v>31-Dec-21</v>
      </c>
      <c r="D399" t="s">
        <v>21</v>
      </c>
      <c r="E399" t="s">
        <v>28</v>
      </c>
      <c r="F399" t="str">
        <f>"6730936"</f>
        <v>6730936</v>
      </c>
      <c r="G399" t="s">
        <v>425</v>
      </c>
      <c r="I399" t="s">
        <v>30</v>
      </c>
      <c r="J399">
        <v>0.007636254</v>
      </c>
      <c r="K399">
        <v>4050</v>
      </c>
      <c r="L399">
        <v>8237624.89</v>
      </c>
      <c r="M399">
        <v>61547.32</v>
      </c>
      <c r="N399">
        <v>1873</v>
      </c>
      <c r="O399">
        <v>7585650</v>
      </c>
      <c r="P399">
        <v>57925.95</v>
      </c>
      <c r="Q399">
        <v>0</v>
      </c>
      <c r="R399">
        <v>0</v>
      </c>
      <c r="S399">
        <v>0.032</v>
      </c>
      <c r="T399" t="s">
        <v>31</v>
      </c>
    </row>
    <row r="400" spans="1:20" ht="15">
      <c r="A400" t="s">
        <v>19</v>
      </c>
      <c r="B400" t="s">
        <v>20</v>
      </c>
      <c r="C400" t="str">
        <f t="shared" si="6"/>
        <v>31-Dec-21</v>
      </c>
      <c r="D400" t="s">
        <v>21</v>
      </c>
      <c r="E400" t="s">
        <v>28</v>
      </c>
      <c r="F400" t="str">
        <f>"6804682"</f>
        <v>6804682</v>
      </c>
      <c r="G400" t="s">
        <v>426</v>
      </c>
      <c r="I400" t="s">
        <v>30</v>
      </c>
      <c r="J400">
        <v>0.007636254</v>
      </c>
      <c r="K400">
        <v>12700</v>
      </c>
      <c r="L400">
        <v>39923387.5</v>
      </c>
      <c r="M400">
        <v>313167.52</v>
      </c>
      <c r="N400">
        <v>8125</v>
      </c>
      <c r="O400">
        <v>103187500</v>
      </c>
      <c r="P400">
        <v>787965.93</v>
      </c>
      <c r="Q400">
        <v>0</v>
      </c>
      <c r="R400">
        <v>0</v>
      </c>
      <c r="S400">
        <v>0.434</v>
      </c>
      <c r="T400" t="s">
        <v>31</v>
      </c>
    </row>
    <row r="401" spans="1:20" ht="15">
      <c r="A401" t="s">
        <v>19</v>
      </c>
      <c r="B401" t="s">
        <v>20</v>
      </c>
      <c r="C401" t="str">
        <f t="shared" si="6"/>
        <v>31-Dec-21</v>
      </c>
      <c r="D401" t="s">
        <v>21</v>
      </c>
      <c r="E401" t="s">
        <v>28</v>
      </c>
      <c r="F401" t="str">
        <f>"B05MTR0"</f>
        <v>B05MTR0</v>
      </c>
      <c r="G401" t="s">
        <v>427</v>
      </c>
      <c r="I401" t="s">
        <v>30</v>
      </c>
      <c r="J401">
        <v>0.007636254</v>
      </c>
      <c r="K401">
        <v>3200</v>
      </c>
      <c r="L401">
        <v>6512722.66</v>
      </c>
      <c r="M401">
        <v>55295.33</v>
      </c>
      <c r="N401">
        <v>2680</v>
      </c>
      <c r="O401">
        <v>8576000</v>
      </c>
      <c r="P401">
        <v>65488.51</v>
      </c>
      <c r="Q401">
        <v>0</v>
      </c>
      <c r="R401">
        <v>0</v>
      </c>
      <c r="S401">
        <v>0.036</v>
      </c>
      <c r="T401" t="s">
        <v>31</v>
      </c>
    </row>
    <row r="402" spans="1:20" ht="15">
      <c r="A402" t="s">
        <v>19</v>
      </c>
      <c r="B402" t="s">
        <v>20</v>
      </c>
      <c r="C402" t="str">
        <f t="shared" si="6"/>
        <v>31-Dec-21</v>
      </c>
      <c r="D402" t="s">
        <v>21</v>
      </c>
      <c r="E402" t="s">
        <v>28</v>
      </c>
      <c r="F402" t="str">
        <f>"6805265"</f>
        <v>6805265</v>
      </c>
      <c r="G402" t="s">
        <v>428</v>
      </c>
      <c r="I402" t="s">
        <v>30</v>
      </c>
      <c r="J402">
        <v>0.007636254</v>
      </c>
      <c r="K402">
        <v>17800</v>
      </c>
      <c r="L402">
        <v>46428578.08</v>
      </c>
      <c r="M402">
        <v>365879.1</v>
      </c>
      <c r="N402">
        <v>6414</v>
      </c>
      <c r="O402">
        <v>114169200</v>
      </c>
      <c r="P402">
        <v>871824.98</v>
      </c>
      <c r="Q402">
        <v>453900</v>
      </c>
      <c r="R402">
        <v>3466.1</v>
      </c>
      <c r="S402">
        <v>0.483</v>
      </c>
      <c r="T402" t="s">
        <v>31</v>
      </c>
    </row>
    <row r="403" spans="1:20" ht="15">
      <c r="A403" t="s">
        <v>19</v>
      </c>
      <c r="B403" t="s">
        <v>20</v>
      </c>
      <c r="C403" t="str">
        <f t="shared" si="6"/>
        <v>31-Dec-21</v>
      </c>
      <c r="D403" t="s">
        <v>21</v>
      </c>
      <c r="E403" t="s">
        <v>28</v>
      </c>
      <c r="F403" t="str">
        <f>"6805328"</f>
        <v>6805328</v>
      </c>
      <c r="G403" t="s">
        <v>429</v>
      </c>
      <c r="I403" t="s">
        <v>30</v>
      </c>
      <c r="J403">
        <v>0.007636254</v>
      </c>
      <c r="K403">
        <v>24700</v>
      </c>
      <c r="L403">
        <v>24736907.27</v>
      </c>
      <c r="M403">
        <v>191877.18</v>
      </c>
      <c r="N403">
        <v>822</v>
      </c>
      <c r="O403">
        <v>20303400</v>
      </c>
      <c r="P403">
        <v>155041.91</v>
      </c>
      <c r="Q403">
        <v>0</v>
      </c>
      <c r="R403">
        <v>0</v>
      </c>
      <c r="S403">
        <v>0.085</v>
      </c>
      <c r="T403" t="s">
        <v>31</v>
      </c>
    </row>
    <row r="404" spans="1:20" ht="15">
      <c r="A404" t="s">
        <v>19</v>
      </c>
      <c r="B404" t="s">
        <v>20</v>
      </c>
      <c r="C404" t="str">
        <f t="shared" si="6"/>
        <v>31-Dec-21</v>
      </c>
      <c r="D404" t="s">
        <v>21</v>
      </c>
      <c r="E404" t="s">
        <v>28</v>
      </c>
      <c r="F404" t="str">
        <f>"6805362"</f>
        <v>6805362</v>
      </c>
      <c r="G404" t="s">
        <v>430</v>
      </c>
      <c r="I404" t="s">
        <v>30</v>
      </c>
      <c r="J404">
        <v>0.007636254</v>
      </c>
      <c r="K404">
        <v>600</v>
      </c>
      <c r="L404">
        <v>7198139.17</v>
      </c>
      <c r="M404">
        <v>56872.34</v>
      </c>
      <c r="N404">
        <v>12010</v>
      </c>
      <c r="O404">
        <v>7206000</v>
      </c>
      <c r="P404">
        <v>55026.84</v>
      </c>
      <c r="Q404">
        <v>0</v>
      </c>
      <c r="R404">
        <v>0</v>
      </c>
      <c r="S404">
        <v>0.03</v>
      </c>
      <c r="T404" t="s">
        <v>31</v>
      </c>
    </row>
    <row r="405" spans="1:20" ht="15">
      <c r="A405" t="s">
        <v>19</v>
      </c>
      <c r="B405" t="s">
        <v>20</v>
      </c>
      <c r="C405" t="str">
        <f t="shared" si="6"/>
        <v>31-Dec-21</v>
      </c>
      <c r="D405" t="s">
        <v>21</v>
      </c>
      <c r="E405" t="s">
        <v>28</v>
      </c>
      <c r="F405" t="str">
        <f>"6805469"</f>
        <v>6805469</v>
      </c>
      <c r="G405" t="s">
        <v>431</v>
      </c>
      <c r="I405" t="s">
        <v>30</v>
      </c>
      <c r="J405">
        <v>0.007636254</v>
      </c>
      <c r="K405">
        <v>8400</v>
      </c>
      <c r="L405">
        <v>24973360.18</v>
      </c>
      <c r="M405">
        <v>186974.69</v>
      </c>
      <c r="N405">
        <v>2415</v>
      </c>
      <c r="O405">
        <v>20286000</v>
      </c>
      <c r="P405">
        <v>154909.04</v>
      </c>
      <c r="Q405">
        <v>464100</v>
      </c>
      <c r="R405">
        <v>3543.98</v>
      </c>
      <c r="S405">
        <v>0.087</v>
      </c>
      <c r="T405" t="s">
        <v>31</v>
      </c>
    </row>
    <row r="406" spans="1:20" ht="15">
      <c r="A406" t="s">
        <v>19</v>
      </c>
      <c r="B406" t="s">
        <v>20</v>
      </c>
      <c r="C406" t="str">
        <f t="shared" si="6"/>
        <v>31-Dec-21</v>
      </c>
      <c r="D406" t="s">
        <v>21</v>
      </c>
      <c r="E406" t="s">
        <v>28</v>
      </c>
      <c r="F406" t="str">
        <f>"BQQD167"</f>
        <v>BQQD167</v>
      </c>
      <c r="G406" t="s">
        <v>432</v>
      </c>
      <c r="I406" t="s">
        <v>30</v>
      </c>
      <c r="J406">
        <v>0.007636254</v>
      </c>
      <c r="K406">
        <v>9700</v>
      </c>
      <c r="L406">
        <v>15459494.99</v>
      </c>
      <c r="M406">
        <v>117535.31</v>
      </c>
      <c r="N406">
        <v>1511</v>
      </c>
      <c r="O406">
        <v>14656700</v>
      </c>
      <c r="P406">
        <v>111922.28</v>
      </c>
      <c r="Q406">
        <v>115430</v>
      </c>
      <c r="R406">
        <v>881.45</v>
      </c>
      <c r="S406">
        <v>0.062</v>
      </c>
      <c r="T406" t="s">
        <v>31</v>
      </c>
    </row>
    <row r="407" spans="1:20" ht="15">
      <c r="A407" t="s">
        <v>19</v>
      </c>
      <c r="B407" t="s">
        <v>20</v>
      </c>
      <c r="C407" t="str">
        <f t="shared" si="6"/>
        <v>31-Dec-21</v>
      </c>
      <c r="D407" t="s">
        <v>21</v>
      </c>
      <c r="E407" t="s">
        <v>28</v>
      </c>
      <c r="F407" t="str">
        <f>"BF5M0K5"</f>
        <v>BF5M0K5</v>
      </c>
      <c r="G407" t="s">
        <v>433</v>
      </c>
      <c r="I407" t="s">
        <v>30</v>
      </c>
      <c r="J407">
        <v>0.007636254</v>
      </c>
      <c r="K407">
        <v>126000</v>
      </c>
      <c r="L407">
        <v>164985280.31</v>
      </c>
      <c r="M407">
        <v>1321254.3</v>
      </c>
      <c r="N407">
        <v>1454.5</v>
      </c>
      <c r="O407">
        <v>183267000</v>
      </c>
      <c r="P407">
        <v>1399473.31</v>
      </c>
      <c r="Q407">
        <v>0</v>
      </c>
      <c r="R407">
        <v>0</v>
      </c>
      <c r="S407">
        <v>0.771</v>
      </c>
      <c r="T407" t="s">
        <v>31</v>
      </c>
    </row>
    <row r="408" spans="1:20" ht="15">
      <c r="A408" t="s">
        <v>19</v>
      </c>
      <c r="B408" t="s">
        <v>20</v>
      </c>
      <c r="C408" t="str">
        <f t="shared" si="6"/>
        <v>31-Dec-21</v>
      </c>
      <c r="D408" t="s">
        <v>21</v>
      </c>
      <c r="E408" t="s">
        <v>28</v>
      </c>
      <c r="F408" t="str">
        <f>"6770620"</f>
        <v>6770620</v>
      </c>
      <c r="G408" t="s">
        <v>434</v>
      </c>
      <c r="I408" t="s">
        <v>30</v>
      </c>
      <c r="J408">
        <v>0.007636254</v>
      </c>
      <c r="K408">
        <v>62400</v>
      </c>
      <c r="L408">
        <v>166963971.32</v>
      </c>
      <c r="M408">
        <v>1331249.13</v>
      </c>
      <c r="N408">
        <v>5434</v>
      </c>
      <c r="O408">
        <v>339081600</v>
      </c>
      <c r="P408">
        <v>2589313.13</v>
      </c>
      <c r="Q408">
        <v>0</v>
      </c>
      <c r="R408">
        <v>0</v>
      </c>
      <c r="S408">
        <v>1.427</v>
      </c>
      <c r="T408" t="s">
        <v>31</v>
      </c>
    </row>
    <row r="409" spans="1:20" ht="15">
      <c r="A409" t="s">
        <v>19</v>
      </c>
      <c r="B409" t="s">
        <v>20</v>
      </c>
      <c r="C409" t="str">
        <f t="shared" si="6"/>
        <v>31-Dec-21</v>
      </c>
      <c r="D409" t="s">
        <v>21</v>
      </c>
      <c r="E409" t="s">
        <v>28</v>
      </c>
      <c r="F409" t="str">
        <f>"6546359"</f>
        <v>6546359</v>
      </c>
      <c r="G409" t="s">
        <v>435</v>
      </c>
      <c r="I409" t="s">
        <v>30</v>
      </c>
      <c r="J409">
        <v>0.007636254</v>
      </c>
      <c r="K409">
        <v>3000</v>
      </c>
      <c r="L409">
        <v>9085406.67</v>
      </c>
      <c r="M409">
        <v>71562.22</v>
      </c>
      <c r="N409">
        <v>4570</v>
      </c>
      <c r="O409">
        <v>13710000</v>
      </c>
      <c r="P409">
        <v>104693.04</v>
      </c>
      <c r="Q409">
        <v>0</v>
      </c>
      <c r="R409">
        <v>0</v>
      </c>
      <c r="S409">
        <v>0.058</v>
      </c>
      <c r="T409" t="s">
        <v>31</v>
      </c>
    </row>
    <row r="410" spans="1:20" ht="15">
      <c r="A410" t="s">
        <v>19</v>
      </c>
      <c r="B410" t="s">
        <v>20</v>
      </c>
      <c r="C410" t="str">
        <f t="shared" si="6"/>
        <v>31-Dec-21</v>
      </c>
      <c r="D410" t="s">
        <v>21</v>
      </c>
      <c r="E410" t="s">
        <v>28</v>
      </c>
      <c r="F410" t="str">
        <f>"6594143"</f>
        <v>6594143</v>
      </c>
      <c r="G410" t="s">
        <v>436</v>
      </c>
      <c r="I410" t="s">
        <v>30</v>
      </c>
      <c r="J410">
        <v>0.007636254</v>
      </c>
      <c r="K410">
        <v>10380</v>
      </c>
      <c r="L410">
        <v>12802466.18</v>
      </c>
      <c r="M410">
        <v>92629.49</v>
      </c>
      <c r="N410">
        <v>1728</v>
      </c>
      <c r="O410">
        <v>17936640</v>
      </c>
      <c r="P410">
        <v>136968.73</v>
      </c>
      <c r="Q410">
        <v>0</v>
      </c>
      <c r="R410">
        <v>0</v>
      </c>
      <c r="S410">
        <v>0.076</v>
      </c>
      <c r="T410" t="s">
        <v>31</v>
      </c>
    </row>
    <row r="411" spans="1:20" ht="15">
      <c r="A411" t="s">
        <v>19</v>
      </c>
      <c r="B411" t="s">
        <v>20</v>
      </c>
      <c r="C411" t="str">
        <f t="shared" si="6"/>
        <v>31-Dec-21</v>
      </c>
      <c r="D411" t="s">
        <v>21</v>
      </c>
      <c r="E411" t="s">
        <v>28</v>
      </c>
      <c r="F411" t="str">
        <f>"B62G7K6"</f>
        <v>B62G7K6</v>
      </c>
      <c r="G411" t="s">
        <v>437</v>
      </c>
      <c r="I411" t="s">
        <v>30</v>
      </c>
      <c r="J411">
        <v>0.007636254</v>
      </c>
      <c r="K411">
        <v>15400</v>
      </c>
      <c r="L411">
        <v>50520974.18</v>
      </c>
      <c r="M411">
        <v>389834.29</v>
      </c>
      <c r="N411">
        <v>4859</v>
      </c>
      <c r="O411">
        <v>74828600</v>
      </c>
      <c r="P411">
        <v>571410.17</v>
      </c>
      <c r="Q411">
        <v>0</v>
      </c>
      <c r="R411">
        <v>0</v>
      </c>
      <c r="S411">
        <v>0.315</v>
      </c>
      <c r="T411" t="s">
        <v>31</v>
      </c>
    </row>
    <row r="412" spans="1:20" ht="15">
      <c r="A412" t="s">
        <v>19</v>
      </c>
      <c r="B412" t="s">
        <v>20</v>
      </c>
      <c r="C412" t="str">
        <f t="shared" si="6"/>
        <v>31-Dec-21</v>
      </c>
      <c r="D412" t="s">
        <v>21</v>
      </c>
      <c r="E412" t="s">
        <v>28</v>
      </c>
      <c r="F412" t="str">
        <f>"6821506"</f>
        <v>6821506</v>
      </c>
      <c r="G412" t="s">
        <v>438</v>
      </c>
      <c r="I412" t="s">
        <v>30</v>
      </c>
      <c r="J412">
        <v>0.007636254</v>
      </c>
      <c r="K412">
        <v>57700</v>
      </c>
      <c r="L412">
        <v>199036947.01</v>
      </c>
      <c r="M412">
        <v>1510257.73</v>
      </c>
      <c r="N412">
        <v>14475</v>
      </c>
      <c r="O412">
        <v>835207500</v>
      </c>
      <c r="P412">
        <v>6377856.37</v>
      </c>
      <c r="Q412">
        <v>0</v>
      </c>
      <c r="R412">
        <v>0</v>
      </c>
      <c r="S412">
        <v>3.516</v>
      </c>
      <c r="T412" t="s">
        <v>31</v>
      </c>
    </row>
    <row r="413" spans="1:20" ht="15">
      <c r="A413" t="s">
        <v>19</v>
      </c>
      <c r="B413" t="s">
        <v>20</v>
      </c>
      <c r="C413" t="str">
        <f t="shared" si="6"/>
        <v>31-Dec-21</v>
      </c>
      <c r="D413" t="s">
        <v>21</v>
      </c>
      <c r="E413" t="s">
        <v>28</v>
      </c>
      <c r="F413" t="str">
        <f>"6767202"</f>
        <v>6767202</v>
      </c>
      <c r="G413" t="s">
        <v>439</v>
      </c>
      <c r="I413" t="s">
        <v>30</v>
      </c>
      <c r="J413">
        <v>0.007636254</v>
      </c>
      <c r="K413">
        <v>3000</v>
      </c>
      <c r="L413">
        <v>5486618.71</v>
      </c>
      <c r="M413">
        <v>42432.62</v>
      </c>
      <c r="N413">
        <v>2106</v>
      </c>
      <c r="O413">
        <v>6318000</v>
      </c>
      <c r="P413">
        <v>48245.85</v>
      </c>
      <c r="Q413">
        <v>0</v>
      </c>
      <c r="R413">
        <v>0</v>
      </c>
      <c r="S413">
        <v>0.027</v>
      </c>
      <c r="T413" t="s">
        <v>31</v>
      </c>
    </row>
    <row r="414" spans="1:20" ht="15">
      <c r="A414" t="s">
        <v>19</v>
      </c>
      <c r="B414" t="s">
        <v>20</v>
      </c>
      <c r="C414" t="str">
        <f t="shared" si="6"/>
        <v>31-Dec-21</v>
      </c>
      <c r="D414" t="s">
        <v>21</v>
      </c>
      <c r="E414" t="s">
        <v>28</v>
      </c>
      <c r="F414" t="str">
        <f>"6309262"</f>
        <v>6309262</v>
      </c>
      <c r="G414" t="s">
        <v>440</v>
      </c>
      <c r="I414" t="s">
        <v>30</v>
      </c>
      <c r="J414">
        <v>0.007636254</v>
      </c>
      <c r="K414">
        <v>3600</v>
      </c>
      <c r="L414">
        <v>8798250.2</v>
      </c>
      <c r="M414">
        <v>66559.53</v>
      </c>
      <c r="N414">
        <v>5900</v>
      </c>
      <c r="O414">
        <v>21240000</v>
      </c>
      <c r="P414">
        <v>162194.03</v>
      </c>
      <c r="Q414">
        <v>0</v>
      </c>
      <c r="R414">
        <v>0</v>
      </c>
      <c r="S414">
        <v>0.089</v>
      </c>
      <c r="T414" t="s">
        <v>31</v>
      </c>
    </row>
    <row r="415" spans="1:20" ht="15">
      <c r="A415" t="s">
        <v>19</v>
      </c>
      <c r="B415" t="s">
        <v>20</v>
      </c>
      <c r="C415" t="str">
        <f t="shared" si="6"/>
        <v>31-Dec-21</v>
      </c>
      <c r="D415" t="s">
        <v>21</v>
      </c>
      <c r="E415" t="s">
        <v>28</v>
      </c>
      <c r="F415" t="str">
        <f>"6841106"</f>
        <v>6841106</v>
      </c>
      <c r="G415" t="s">
        <v>441</v>
      </c>
      <c r="I415" t="s">
        <v>30</v>
      </c>
      <c r="J415">
        <v>0.007636254</v>
      </c>
      <c r="K415">
        <v>6500</v>
      </c>
      <c r="L415">
        <v>15651057.67</v>
      </c>
      <c r="M415">
        <v>119508.14</v>
      </c>
      <c r="N415">
        <v>2879</v>
      </c>
      <c r="O415">
        <v>18713500</v>
      </c>
      <c r="P415">
        <v>142901.03</v>
      </c>
      <c r="Q415">
        <v>0</v>
      </c>
      <c r="R415">
        <v>0</v>
      </c>
      <c r="S415">
        <v>0.079</v>
      </c>
      <c r="T415" t="s">
        <v>31</v>
      </c>
    </row>
    <row r="416" spans="1:20" ht="15">
      <c r="A416" t="s">
        <v>19</v>
      </c>
      <c r="B416" t="s">
        <v>20</v>
      </c>
      <c r="C416" t="str">
        <f t="shared" si="6"/>
        <v>31-Dec-21</v>
      </c>
      <c r="D416" t="s">
        <v>21</v>
      </c>
      <c r="E416" t="s">
        <v>28</v>
      </c>
      <c r="F416" t="str">
        <f>"6356406"</f>
        <v>6356406</v>
      </c>
      <c r="G416" t="s">
        <v>442</v>
      </c>
      <c r="I416" t="s">
        <v>30</v>
      </c>
      <c r="J416">
        <v>0.007636254</v>
      </c>
      <c r="K416">
        <v>28500</v>
      </c>
      <c r="L416">
        <v>53859266.7</v>
      </c>
      <c r="M416">
        <v>425454.13</v>
      </c>
      <c r="N416">
        <v>2057</v>
      </c>
      <c r="O416">
        <v>58624500</v>
      </c>
      <c r="P416">
        <v>447671.56</v>
      </c>
      <c r="Q416">
        <v>0</v>
      </c>
      <c r="R416">
        <v>0</v>
      </c>
      <c r="S416">
        <v>0.247</v>
      </c>
      <c r="T416" t="s">
        <v>31</v>
      </c>
    </row>
    <row r="417" spans="1:20" ht="15">
      <c r="A417" t="s">
        <v>19</v>
      </c>
      <c r="B417" t="s">
        <v>20</v>
      </c>
      <c r="C417" t="str">
        <f t="shared" si="6"/>
        <v>31-Dec-21</v>
      </c>
      <c r="D417" t="s">
        <v>21</v>
      </c>
      <c r="E417" t="s">
        <v>28</v>
      </c>
      <c r="F417" t="str">
        <f>"6259011"</f>
        <v>6259011</v>
      </c>
      <c r="G417" t="s">
        <v>443</v>
      </c>
      <c r="I417" t="s">
        <v>30</v>
      </c>
      <c r="J417">
        <v>0.007636254</v>
      </c>
      <c r="K417">
        <v>1600</v>
      </c>
      <c r="L417">
        <v>5523119.89</v>
      </c>
      <c r="M417">
        <v>45770.01</v>
      </c>
      <c r="N417">
        <v>6970</v>
      </c>
      <c r="O417">
        <v>11152000</v>
      </c>
      <c r="P417">
        <v>85159.5</v>
      </c>
      <c r="Q417">
        <v>0</v>
      </c>
      <c r="R417">
        <v>0</v>
      </c>
      <c r="S417">
        <v>0.047</v>
      </c>
      <c r="T417" t="s">
        <v>31</v>
      </c>
    </row>
    <row r="418" spans="1:20" ht="15">
      <c r="A418" t="s">
        <v>19</v>
      </c>
      <c r="B418" t="s">
        <v>20</v>
      </c>
      <c r="C418" t="str">
        <f t="shared" si="6"/>
        <v>31-Dec-21</v>
      </c>
      <c r="D418" t="s">
        <v>21</v>
      </c>
      <c r="E418" t="s">
        <v>28</v>
      </c>
      <c r="F418" t="str">
        <f>"6858504"</f>
        <v>6858504</v>
      </c>
      <c r="G418" t="s">
        <v>444</v>
      </c>
      <c r="I418" t="s">
        <v>30</v>
      </c>
      <c r="J418">
        <v>0.007636254</v>
      </c>
      <c r="K418">
        <v>1400</v>
      </c>
      <c r="L418">
        <v>7167501.25</v>
      </c>
      <c r="M418">
        <v>54156.97</v>
      </c>
      <c r="N418">
        <v>5830</v>
      </c>
      <c r="O418">
        <v>8162000</v>
      </c>
      <c r="P418">
        <v>62327.1</v>
      </c>
      <c r="Q418">
        <v>0</v>
      </c>
      <c r="R418">
        <v>0</v>
      </c>
      <c r="S418">
        <v>0.034</v>
      </c>
      <c r="T418" t="s">
        <v>31</v>
      </c>
    </row>
    <row r="419" spans="1:20" ht="15">
      <c r="A419" t="s">
        <v>19</v>
      </c>
      <c r="B419" t="s">
        <v>20</v>
      </c>
      <c r="C419" t="str">
        <f t="shared" si="6"/>
        <v>31-Dec-21</v>
      </c>
      <c r="D419" t="s">
        <v>21</v>
      </c>
      <c r="E419" t="s">
        <v>28</v>
      </c>
      <c r="F419" t="str">
        <f>"6858560"</f>
        <v>6858560</v>
      </c>
      <c r="G419" t="s">
        <v>445</v>
      </c>
      <c r="I419" t="s">
        <v>30</v>
      </c>
      <c r="J419">
        <v>0.007636254</v>
      </c>
      <c r="K419">
        <v>71200</v>
      </c>
      <c r="L419">
        <v>37181797.68</v>
      </c>
      <c r="M419">
        <v>278990.45</v>
      </c>
      <c r="N419">
        <v>542</v>
      </c>
      <c r="O419">
        <v>38590400</v>
      </c>
      <c r="P419">
        <v>294686.09</v>
      </c>
      <c r="Q419">
        <v>0</v>
      </c>
      <c r="R419">
        <v>0</v>
      </c>
      <c r="S419">
        <v>0.162</v>
      </c>
      <c r="T419" t="s">
        <v>31</v>
      </c>
    </row>
    <row r="420" spans="1:20" ht="15">
      <c r="A420" t="s">
        <v>19</v>
      </c>
      <c r="B420" t="s">
        <v>20</v>
      </c>
      <c r="C420" t="str">
        <f t="shared" si="6"/>
        <v>31-Dec-21</v>
      </c>
      <c r="D420" t="s">
        <v>21</v>
      </c>
      <c r="E420" t="s">
        <v>28</v>
      </c>
      <c r="F420" t="str">
        <f>"6858946"</f>
        <v>6858946</v>
      </c>
      <c r="G420" t="s">
        <v>446</v>
      </c>
      <c r="I420" t="s">
        <v>30</v>
      </c>
      <c r="J420">
        <v>0.007636254</v>
      </c>
      <c r="K420">
        <v>52800</v>
      </c>
      <c r="L420">
        <v>70276153.77</v>
      </c>
      <c r="M420">
        <v>554420.69</v>
      </c>
      <c r="N420">
        <v>1700.5</v>
      </c>
      <c r="O420">
        <v>89786400</v>
      </c>
      <c r="P420">
        <v>685631.73</v>
      </c>
      <c r="Q420">
        <v>0</v>
      </c>
      <c r="R420">
        <v>0</v>
      </c>
      <c r="S420">
        <v>0.378</v>
      </c>
      <c r="T420" t="s">
        <v>31</v>
      </c>
    </row>
    <row r="421" spans="1:20" ht="15">
      <c r="A421" t="s">
        <v>19</v>
      </c>
      <c r="B421" t="s">
        <v>20</v>
      </c>
      <c r="C421" t="str">
        <f t="shared" si="6"/>
        <v>31-Dec-21</v>
      </c>
      <c r="D421" t="s">
        <v>21</v>
      </c>
      <c r="E421" t="s">
        <v>28</v>
      </c>
      <c r="F421" t="str">
        <f>"6250865"</f>
        <v>6250865</v>
      </c>
      <c r="G421" t="s">
        <v>447</v>
      </c>
      <c r="I421" t="s">
        <v>30</v>
      </c>
      <c r="J421">
        <v>0.007636254</v>
      </c>
      <c r="K421">
        <v>6400</v>
      </c>
      <c r="L421">
        <v>7976545.06</v>
      </c>
      <c r="M421">
        <v>62552.01</v>
      </c>
      <c r="N421">
        <v>1325</v>
      </c>
      <c r="O421">
        <v>8480000</v>
      </c>
      <c r="P421">
        <v>64755.43</v>
      </c>
      <c r="Q421">
        <v>0</v>
      </c>
      <c r="R421">
        <v>0</v>
      </c>
      <c r="S421">
        <v>0.036</v>
      </c>
      <c r="T421" t="s">
        <v>31</v>
      </c>
    </row>
    <row r="422" spans="1:20" ht="15">
      <c r="A422" t="s">
        <v>19</v>
      </c>
      <c r="B422" t="s">
        <v>20</v>
      </c>
      <c r="C422" t="str">
        <f t="shared" si="6"/>
        <v>31-Dec-21</v>
      </c>
      <c r="D422" t="s">
        <v>21</v>
      </c>
      <c r="E422" t="s">
        <v>28</v>
      </c>
      <c r="F422" t="str">
        <f>"6858708"</f>
        <v>6858708</v>
      </c>
      <c r="G422" t="s">
        <v>448</v>
      </c>
      <c r="I422" t="s">
        <v>30</v>
      </c>
      <c r="J422">
        <v>0.007636254</v>
      </c>
      <c r="K422">
        <v>34900</v>
      </c>
      <c r="L422">
        <v>47407605.23</v>
      </c>
      <c r="M422">
        <v>371464.27</v>
      </c>
      <c r="N422">
        <v>1499.5</v>
      </c>
      <c r="O422">
        <v>52332550</v>
      </c>
      <c r="P422">
        <v>399624.63</v>
      </c>
      <c r="Q422">
        <v>0</v>
      </c>
      <c r="R422">
        <v>0</v>
      </c>
      <c r="S422">
        <v>0.22</v>
      </c>
      <c r="T422" t="s">
        <v>31</v>
      </c>
    </row>
    <row r="423" spans="1:20" ht="15">
      <c r="A423" t="s">
        <v>19</v>
      </c>
      <c r="B423" t="s">
        <v>20</v>
      </c>
      <c r="C423" t="str">
        <f t="shared" si="6"/>
        <v>31-Dec-21</v>
      </c>
      <c r="D423" t="s">
        <v>21</v>
      </c>
      <c r="E423" t="s">
        <v>28</v>
      </c>
      <c r="F423" t="str">
        <f>"6858861"</f>
        <v>6858861</v>
      </c>
      <c r="G423" t="s">
        <v>449</v>
      </c>
      <c r="I423" t="s">
        <v>30</v>
      </c>
      <c r="J423">
        <v>0.007636254</v>
      </c>
      <c r="K423">
        <v>6800</v>
      </c>
      <c r="L423">
        <v>7430450.25</v>
      </c>
      <c r="M423">
        <v>57010.57</v>
      </c>
      <c r="N423">
        <v>2226</v>
      </c>
      <c r="O423">
        <v>15136800</v>
      </c>
      <c r="P423">
        <v>115588.45</v>
      </c>
      <c r="Q423">
        <v>202300</v>
      </c>
      <c r="R423">
        <v>1544.82</v>
      </c>
      <c r="S423">
        <v>0.065</v>
      </c>
      <c r="T423" t="s">
        <v>31</v>
      </c>
    </row>
    <row r="424" spans="1:20" ht="15">
      <c r="A424" t="s">
        <v>19</v>
      </c>
      <c r="B424" t="s">
        <v>20</v>
      </c>
      <c r="C424" t="str">
        <f t="shared" si="6"/>
        <v>31-Dec-21</v>
      </c>
      <c r="D424" t="s">
        <v>21</v>
      </c>
      <c r="E424" t="s">
        <v>28</v>
      </c>
      <c r="F424" t="str">
        <f>"6858731"</f>
        <v>6858731</v>
      </c>
      <c r="G424" t="s">
        <v>450</v>
      </c>
      <c r="I424" t="s">
        <v>30</v>
      </c>
      <c r="J424">
        <v>0.007636254</v>
      </c>
      <c r="K424">
        <v>5800</v>
      </c>
      <c r="L424">
        <v>20634058.52</v>
      </c>
      <c r="M424">
        <v>157351.87</v>
      </c>
      <c r="N424">
        <v>2789</v>
      </c>
      <c r="O424">
        <v>16176200</v>
      </c>
      <c r="P424">
        <v>123525.57</v>
      </c>
      <c r="Q424">
        <v>0</v>
      </c>
      <c r="R424">
        <v>0</v>
      </c>
      <c r="S424">
        <v>0.068</v>
      </c>
      <c r="T424" t="s">
        <v>31</v>
      </c>
    </row>
    <row r="425" spans="1:20" ht="15">
      <c r="A425" t="s">
        <v>19</v>
      </c>
      <c r="B425" t="s">
        <v>20</v>
      </c>
      <c r="C425" t="str">
        <f t="shared" si="6"/>
        <v>31-Dec-21</v>
      </c>
      <c r="D425" t="s">
        <v>21</v>
      </c>
      <c r="E425" t="s">
        <v>28</v>
      </c>
      <c r="F425" t="str">
        <f>"6858849"</f>
        <v>6858849</v>
      </c>
      <c r="G425" t="s">
        <v>451</v>
      </c>
      <c r="I425" t="s">
        <v>30</v>
      </c>
      <c r="J425">
        <v>0.007636254</v>
      </c>
      <c r="K425">
        <v>11000</v>
      </c>
      <c r="L425">
        <v>32354040.38</v>
      </c>
      <c r="M425">
        <v>247769.97</v>
      </c>
      <c r="N425">
        <v>4350</v>
      </c>
      <c r="O425">
        <v>47850000</v>
      </c>
      <c r="P425">
        <v>365394.74</v>
      </c>
      <c r="Q425">
        <v>0</v>
      </c>
      <c r="R425">
        <v>0</v>
      </c>
      <c r="S425">
        <v>0.201</v>
      </c>
      <c r="T425" t="s">
        <v>31</v>
      </c>
    </row>
    <row r="426" spans="1:20" ht="15">
      <c r="A426" t="s">
        <v>19</v>
      </c>
      <c r="B426" t="s">
        <v>20</v>
      </c>
      <c r="C426" t="str">
        <f t="shared" si="6"/>
        <v>31-Dec-21</v>
      </c>
      <c r="D426" t="s">
        <v>21</v>
      </c>
      <c r="E426" t="s">
        <v>28</v>
      </c>
      <c r="F426" t="str">
        <f>"6563024"</f>
        <v>6563024</v>
      </c>
      <c r="G426" t="s">
        <v>452</v>
      </c>
      <c r="I426" t="s">
        <v>30</v>
      </c>
      <c r="J426">
        <v>0.007636254</v>
      </c>
      <c r="K426">
        <v>60032</v>
      </c>
      <c r="L426">
        <v>263720699.88</v>
      </c>
      <c r="M426">
        <v>2015229.94</v>
      </c>
      <c r="N426">
        <v>3943</v>
      </c>
      <c r="O426">
        <v>236706176</v>
      </c>
      <c r="P426">
        <v>1807548.42</v>
      </c>
      <c r="Q426">
        <v>0</v>
      </c>
      <c r="R426">
        <v>0</v>
      </c>
      <c r="S426">
        <v>0.996</v>
      </c>
      <c r="T426" t="s">
        <v>31</v>
      </c>
    </row>
    <row r="427" spans="1:20" ht="15">
      <c r="A427" t="s">
        <v>19</v>
      </c>
      <c r="B427" t="s">
        <v>20</v>
      </c>
      <c r="C427" t="str">
        <f t="shared" si="6"/>
        <v>31-Dec-21</v>
      </c>
      <c r="D427" t="s">
        <v>21</v>
      </c>
      <c r="E427" t="s">
        <v>28</v>
      </c>
      <c r="F427" t="str">
        <f>"6431897"</f>
        <v>6431897</v>
      </c>
      <c r="G427" t="s">
        <v>453</v>
      </c>
      <c r="I427" t="s">
        <v>30</v>
      </c>
      <c r="J427">
        <v>0.007636254</v>
      </c>
      <c r="K427">
        <v>17445</v>
      </c>
      <c r="L427">
        <v>76527863.91</v>
      </c>
      <c r="M427">
        <v>587029.57</v>
      </c>
      <c r="N427">
        <v>3843</v>
      </c>
      <c r="O427">
        <v>67041135</v>
      </c>
      <c r="P427">
        <v>511943.12</v>
      </c>
      <c r="Q427">
        <v>0</v>
      </c>
      <c r="R427">
        <v>0</v>
      </c>
      <c r="S427">
        <v>0.282</v>
      </c>
      <c r="T427" t="s">
        <v>31</v>
      </c>
    </row>
    <row r="428" spans="1:20" ht="15">
      <c r="A428" t="s">
        <v>19</v>
      </c>
      <c r="B428" t="s">
        <v>20</v>
      </c>
      <c r="C428" t="str">
        <f t="shared" si="6"/>
        <v>31-Dec-21</v>
      </c>
      <c r="D428" t="s">
        <v>21</v>
      </c>
      <c r="E428" t="s">
        <v>28</v>
      </c>
      <c r="F428" t="str">
        <f>"6858902"</f>
        <v>6858902</v>
      </c>
      <c r="G428" t="s">
        <v>454</v>
      </c>
      <c r="I428" t="s">
        <v>30</v>
      </c>
      <c r="J428">
        <v>0.007636254</v>
      </c>
      <c r="K428">
        <v>18200</v>
      </c>
      <c r="L428">
        <v>55526127.93</v>
      </c>
      <c r="M428">
        <v>430098.07</v>
      </c>
      <c r="N428">
        <v>3383</v>
      </c>
      <c r="O428">
        <v>61570600</v>
      </c>
      <c r="P428">
        <v>470168.72</v>
      </c>
      <c r="Q428">
        <v>0</v>
      </c>
      <c r="R428">
        <v>0</v>
      </c>
      <c r="S428">
        <v>0.259</v>
      </c>
      <c r="T428" t="s">
        <v>31</v>
      </c>
    </row>
    <row r="429" spans="1:20" ht="15">
      <c r="A429" t="s">
        <v>19</v>
      </c>
      <c r="B429" t="s">
        <v>20</v>
      </c>
      <c r="C429" t="str">
        <f t="shared" si="6"/>
        <v>31-Dec-21</v>
      </c>
      <c r="D429" t="s">
        <v>21</v>
      </c>
      <c r="E429" t="s">
        <v>28</v>
      </c>
      <c r="F429" t="str">
        <f>"6858991"</f>
        <v>6858991</v>
      </c>
      <c r="G429" t="s">
        <v>455</v>
      </c>
      <c r="I429" t="s">
        <v>30</v>
      </c>
      <c r="J429">
        <v>0.007636254</v>
      </c>
      <c r="K429">
        <v>8900</v>
      </c>
      <c r="L429">
        <v>12386416.62</v>
      </c>
      <c r="M429">
        <v>96895.11</v>
      </c>
      <c r="N429">
        <v>1172</v>
      </c>
      <c r="O429">
        <v>10430800</v>
      </c>
      <c r="P429">
        <v>79652.24</v>
      </c>
      <c r="Q429">
        <v>226950</v>
      </c>
      <c r="R429">
        <v>1733.05</v>
      </c>
      <c r="S429">
        <v>0.045</v>
      </c>
      <c r="T429" t="s">
        <v>31</v>
      </c>
    </row>
    <row r="430" spans="1:20" ht="15">
      <c r="A430" t="s">
        <v>19</v>
      </c>
      <c r="B430" t="s">
        <v>20</v>
      </c>
      <c r="C430" t="str">
        <f t="shared" si="6"/>
        <v>31-Dec-21</v>
      </c>
      <c r="D430" t="s">
        <v>21</v>
      </c>
      <c r="E430" t="s">
        <v>28</v>
      </c>
      <c r="F430" t="str">
        <f>"6817895"</f>
        <v>6817895</v>
      </c>
      <c r="G430" t="s">
        <v>456</v>
      </c>
      <c r="I430" t="s">
        <v>30</v>
      </c>
      <c r="J430">
        <v>0.007636254</v>
      </c>
      <c r="K430">
        <v>3256</v>
      </c>
      <c r="L430">
        <v>7154178.01</v>
      </c>
      <c r="M430">
        <v>57683.34</v>
      </c>
      <c r="N430">
        <v>3005</v>
      </c>
      <c r="O430">
        <v>9784280</v>
      </c>
      <c r="P430">
        <v>74715.24</v>
      </c>
      <c r="Q430">
        <v>0</v>
      </c>
      <c r="R430">
        <v>0</v>
      </c>
      <c r="S430">
        <v>0.041</v>
      </c>
      <c r="T430" t="s">
        <v>31</v>
      </c>
    </row>
    <row r="431" spans="1:20" ht="15">
      <c r="A431" t="s">
        <v>19</v>
      </c>
      <c r="B431" t="s">
        <v>20</v>
      </c>
      <c r="C431" t="str">
        <f t="shared" si="6"/>
        <v>31-Dec-21</v>
      </c>
      <c r="D431" t="s">
        <v>21</v>
      </c>
      <c r="E431" t="s">
        <v>28</v>
      </c>
      <c r="F431" t="str">
        <f>"BBD7Q84"</f>
        <v>BBD7Q84</v>
      </c>
      <c r="G431" t="s">
        <v>457</v>
      </c>
      <c r="I431" t="s">
        <v>30</v>
      </c>
      <c r="J431">
        <v>0.007636254</v>
      </c>
      <c r="K431">
        <v>5800</v>
      </c>
      <c r="L431">
        <v>23900406.93</v>
      </c>
      <c r="M431">
        <v>177832.19</v>
      </c>
      <c r="N431">
        <v>4160</v>
      </c>
      <c r="O431">
        <v>24128000</v>
      </c>
      <c r="P431">
        <v>184247.53</v>
      </c>
      <c r="Q431">
        <v>192270</v>
      </c>
      <c r="R431">
        <v>1468.22</v>
      </c>
      <c r="S431">
        <v>0.102</v>
      </c>
      <c r="T431" t="s">
        <v>31</v>
      </c>
    </row>
    <row r="432" spans="1:20" ht="15">
      <c r="A432" t="s">
        <v>19</v>
      </c>
      <c r="B432" t="s">
        <v>20</v>
      </c>
      <c r="C432" t="str">
        <f t="shared" si="6"/>
        <v>31-Dec-21</v>
      </c>
      <c r="D432" t="s">
        <v>21</v>
      </c>
      <c r="E432" t="s">
        <v>28</v>
      </c>
      <c r="F432" t="str">
        <f>"6865560"</f>
        <v>6865560</v>
      </c>
      <c r="G432" t="s">
        <v>458</v>
      </c>
      <c r="I432" t="s">
        <v>30</v>
      </c>
      <c r="J432">
        <v>0.007636254</v>
      </c>
      <c r="K432">
        <v>3900</v>
      </c>
      <c r="L432">
        <v>12492265.58</v>
      </c>
      <c r="M432">
        <v>98227.26</v>
      </c>
      <c r="N432">
        <v>3320</v>
      </c>
      <c r="O432">
        <v>12948000</v>
      </c>
      <c r="P432">
        <v>98874.21</v>
      </c>
      <c r="Q432">
        <v>0</v>
      </c>
      <c r="R432">
        <v>0</v>
      </c>
      <c r="S432">
        <v>0.055</v>
      </c>
      <c r="T432" t="s">
        <v>31</v>
      </c>
    </row>
    <row r="433" spans="1:20" ht="15">
      <c r="A433" t="s">
        <v>19</v>
      </c>
      <c r="B433" t="s">
        <v>20</v>
      </c>
      <c r="C433" t="str">
        <f t="shared" si="6"/>
        <v>31-Dec-21</v>
      </c>
      <c r="D433" t="s">
        <v>21</v>
      </c>
      <c r="E433" t="s">
        <v>28</v>
      </c>
      <c r="F433" t="str">
        <f>"6865504"</f>
        <v>6865504</v>
      </c>
      <c r="G433" t="s">
        <v>459</v>
      </c>
      <c r="I433" t="s">
        <v>30</v>
      </c>
      <c r="J433">
        <v>0.007636254</v>
      </c>
      <c r="K433">
        <v>21400</v>
      </c>
      <c r="L433">
        <v>72696850.76</v>
      </c>
      <c r="M433">
        <v>561322.7</v>
      </c>
      <c r="N433">
        <v>4429</v>
      </c>
      <c r="O433">
        <v>94780600</v>
      </c>
      <c r="P433">
        <v>723768.71</v>
      </c>
      <c r="Q433">
        <v>0</v>
      </c>
      <c r="R433">
        <v>0</v>
      </c>
      <c r="S433">
        <v>0.399</v>
      </c>
      <c r="T433" t="s">
        <v>31</v>
      </c>
    </row>
    <row r="434" spans="1:20" ht="15">
      <c r="A434" t="s">
        <v>19</v>
      </c>
      <c r="B434" t="s">
        <v>20</v>
      </c>
      <c r="C434" t="str">
        <f t="shared" si="6"/>
        <v>31-Dec-21</v>
      </c>
      <c r="D434" t="s">
        <v>21</v>
      </c>
      <c r="E434" t="s">
        <v>28</v>
      </c>
      <c r="F434" t="str">
        <f>"6883807"</f>
        <v>6883807</v>
      </c>
      <c r="G434" t="s">
        <v>460</v>
      </c>
      <c r="I434" t="s">
        <v>30</v>
      </c>
      <c r="J434">
        <v>0.007636254</v>
      </c>
      <c r="K434">
        <v>8800</v>
      </c>
      <c r="L434">
        <v>49149653.54</v>
      </c>
      <c r="M434">
        <v>387248.93</v>
      </c>
      <c r="N434">
        <v>15550</v>
      </c>
      <c r="O434">
        <v>136840000</v>
      </c>
      <c r="P434">
        <v>1044944.96</v>
      </c>
      <c r="Q434">
        <v>0</v>
      </c>
      <c r="R434">
        <v>0</v>
      </c>
      <c r="S434">
        <v>0.576</v>
      </c>
      <c r="T434" t="s">
        <v>31</v>
      </c>
    </row>
    <row r="435" spans="1:20" ht="15">
      <c r="A435" t="s">
        <v>19</v>
      </c>
      <c r="B435" t="s">
        <v>20</v>
      </c>
      <c r="C435" t="str">
        <f t="shared" si="6"/>
        <v>31-Dec-21</v>
      </c>
      <c r="D435" t="s">
        <v>21</v>
      </c>
      <c r="E435" t="s">
        <v>28</v>
      </c>
      <c r="F435" t="str">
        <f>"6744294"</f>
        <v>6744294</v>
      </c>
      <c r="G435" t="s">
        <v>461</v>
      </c>
      <c r="I435" t="s">
        <v>30</v>
      </c>
      <c r="J435">
        <v>0.007636254</v>
      </c>
      <c r="K435">
        <v>25510</v>
      </c>
      <c r="L435">
        <v>45106801.44</v>
      </c>
      <c r="M435">
        <v>333237.08</v>
      </c>
      <c r="N435">
        <v>1472</v>
      </c>
      <c r="O435">
        <v>37550720</v>
      </c>
      <c r="P435">
        <v>286746.83</v>
      </c>
      <c r="Q435">
        <v>0</v>
      </c>
      <c r="R435">
        <v>0</v>
      </c>
      <c r="S435">
        <v>0.158</v>
      </c>
      <c r="T435" t="s">
        <v>31</v>
      </c>
    </row>
    <row r="436" spans="1:20" ht="15">
      <c r="A436" t="s">
        <v>19</v>
      </c>
      <c r="B436" t="s">
        <v>20</v>
      </c>
      <c r="C436" t="str">
        <f t="shared" si="6"/>
        <v>31-Dec-21</v>
      </c>
      <c r="D436" t="s">
        <v>21</v>
      </c>
      <c r="E436" t="s">
        <v>28</v>
      </c>
      <c r="F436" t="str">
        <f>"6894166"</f>
        <v>6894166</v>
      </c>
      <c r="G436" t="s">
        <v>462</v>
      </c>
      <c r="I436" t="s">
        <v>30</v>
      </c>
      <c r="J436">
        <v>0.007636254</v>
      </c>
      <c r="K436">
        <v>2200</v>
      </c>
      <c r="L436">
        <v>4108873.54</v>
      </c>
      <c r="M436">
        <v>32375.65</v>
      </c>
      <c r="N436">
        <v>1669</v>
      </c>
      <c r="O436">
        <v>3671800</v>
      </c>
      <c r="P436">
        <v>28038.8</v>
      </c>
      <c r="Q436">
        <v>0</v>
      </c>
      <c r="R436">
        <v>0</v>
      </c>
      <c r="S436">
        <v>0.015</v>
      </c>
      <c r="T436" t="s">
        <v>31</v>
      </c>
    </row>
    <row r="437" spans="1:20" ht="15">
      <c r="A437" t="s">
        <v>19</v>
      </c>
      <c r="B437" t="s">
        <v>20</v>
      </c>
      <c r="C437" t="str">
        <f t="shared" si="6"/>
        <v>31-Dec-21</v>
      </c>
      <c r="D437" t="s">
        <v>21</v>
      </c>
      <c r="E437" t="s">
        <v>28</v>
      </c>
      <c r="F437" t="str">
        <f>"6869302"</f>
        <v>6869302</v>
      </c>
      <c r="G437" t="s">
        <v>463</v>
      </c>
      <c r="I437" t="s">
        <v>30</v>
      </c>
      <c r="J437">
        <v>0.007636254</v>
      </c>
      <c r="K437">
        <v>16900</v>
      </c>
      <c r="L437">
        <v>34187315.18</v>
      </c>
      <c r="M437">
        <v>261179.4</v>
      </c>
      <c r="N437">
        <v>4490</v>
      </c>
      <c r="O437">
        <v>75881000</v>
      </c>
      <c r="P437">
        <v>579446.57</v>
      </c>
      <c r="Q437">
        <v>0</v>
      </c>
      <c r="R437">
        <v>0</v>
      </c>
      <c r="S437">
        <v>0.319</v>
      </c>
      <c r="T437" t="s">
        <v>31</v>
      </c>
    </row>
    <row r="438" spans="1:20" ht="15">
      <c r="A438" t="s">
        <v>19</v>
      </c>
      <c r="B438" t="s">
        <v>20</v>
      </c>
      <c r="C438" t="str">
        <f t="shared" si="6"/>
        <v>31-Dec-21</v>
      </c>
      <c r="D438" t="s">
        <v>21</v>
      </c>
      <c r="E438" t="s">
        <v>28</v>
      </c>
      <c r="F438" t="str">
        <f>"6869131"</f>
        <v>6869131</v>
      </c>
      <c r="G438" t="s">
        <v>464</v>
      </c>
      <c r="I438" t="s">
        <v>30</v>
      </c>
      <c r="J438">
        <v>0.007636254</v>
      </c>
      <c r="K438">
        <v>4800</v>
      </c>
      <c r="L438">
        <v>11699011.28</v>
      </c>
      <c r="M438">
        <v>91279.22</v>
      </c>
      <c r="N438">
        <v>2773</v>
      </c>
      <c r="O438">
        <v>13310400</v>
      </c>
      <c r="P438">
        <v>101641.59</v>
      </c>
      <c r="Q438">
        <v>10200</v>
      </c>
      <c r="R438">
        <v>77.89</v>
      </c>
      <c r="S438">
        <v>0.056</v>
      </c>
      <c r="T438" t="s">
        <v>31</v>
      </c>
    </row>
    <row r="439" spans="1:20" ht="15">
      <c r="A439" t="s">
        <v>19</v>
      </c>
      <c r="B439" t="s">
        <v>20</v>
      </c>
      <c r="C439" t="str">
        <f t="shared" si="6"/>
        <v>31-Dec-21</v>
      </c>
      <c r="D439" t="s">
        <v>21</v>
      </c>
      <c r="E439" t="s">
        <v>28</v>
      </c>
      <c r="F439" t="str">
        <f>"B2Q4CR0"</f>
        <v>B2Q4CR0</v>
      </c>
      <c r="G439" t="s">
        <v>465</v>
      </c>
      <c r="I439" t="s">
        <v>30</v>
      </c>
      <c r="J439">
        <v>0.007636254</v>
      </c>
      <c r="K439">
        <v>10300</v>
      </c>
      <c r="L439">
        <v>9314568.87</v>
      </c>
      <c r="M439">
        <v>75008.91</v>
      </c>
      <c r="N439">
        <v>3425</v>
      </c>
      <c r="O439">
        <v>35277500</v>
      </c>
      <c r="P439">
        <v>269387.94</v>
      </c>
      <c r="Q439">
        <v>0</v>
      </c>
      <c r="R439">
        <v>0</v>
      </c>
      <c r="S439">
        <v>0.149</v>
      </c>
      <c r="T439" t="s">
        <v>31</v>
      </c>
    </row>
    <row r="440" spans="1:20" ht="15">
      <c r="A440" t="s">
        <v>19</v>
      </c>
      <c r="B440" t="s">
        <v>20</v>
      </c>
      <c r="C440" t="str">
        <f t="shared" si="6"/>
        <v>31-Dec-21</v>
      </c>
      <c r="D440" t="s">
        <v>21</v>
      </c>
      <c r="E440" t="s">
        <v>28</v>
      </c>
      <c r="F440" t="str">
        <f>"6897024"</f>
        <v>6897024</v>
      </c>
      <c r="G440" t="s">
        <v>466</v>
      </c>
      <c r="I440" t="s">
        <v>30</v>
      </c>
      <c r="J440">
        <v>0.007636254</v>
      </c>
      <c r="K440">
        <v>12800</v>
      </c>
      <c r="L440">
        <v>23077504.35</v>
      </c>
      <c r="M440">
        <v>180416.38</v>
      </c>
      <c r="N440">
        <v>2156</v>
      </c>
      <c r="O440">
        <v>27596800</v>
      </c>
      <c r="P440">
        <v>210736.17</v>
      </c>
      <c r="Q440">
        <v>0</v>
      </c>
      <c r="R440">
        <v>0</v>
      </c>
      <c r="S440">
        <v>0.116</v>
      </c>
      <c r="T440" t="s">
        <v>31</v>
      </c>
    </row>
    <row r="441" spans="1:20" ht="15">
      <c r="A441" t="s">
        <v>19</v>
      </c>
      <c r="B441" t="s">
        <v>20</v>
      </c>
      <c r="C441" t="str">
        <f t="shared" si="6"/>
        <v>31-Dec-21</v>
      </c>
      <c r="D441" t="s">
        <v>21</v>
      </c>
      <c r="E441" t="s">
        <v>28</v>
      </c>
      <c r="F441" t="str">
        <f>"6897466"</f>
        <v>6897466</v>
      </c>
      <c r="G441" t="s">
        <v>467</v>
      </c>
      <c r="I441" t="s">
        <v>30</v>
      </c>
      <c r="J441">
        <v>0.007636254</v>
      </c>
      <c r="K441">
        <v>6500</v>
      </c>
      <c r="L441">
        <v>17575058.99</v>
      </c>
      <c r="M441">
        <v>135145.06</v>
      </c>
      <c r="N441">
        <v>5290</v>
      </c>
      <c r="O441">
        <v>34385000</v>
      </c>
      <c r="P441">
        <v>262572.58</v>
      </c>
      <c r="Q441">
        <v>0</v>
      </c>
      <c r="R441">
        <v>0</v>
      </c>
      <c r="S441">
        <v>0.145</v>
      </c>
      <c r="T441" t="s">
        <v>31</v>
      </c>
    </row>
    <row r="442" spans="1:20" ht="15">
      <c r="A442" t="s">
        <v>19</v>
      </c>
      <c r="B442" t="s">
        <v>20</v>
      </c>
      <c r="C442" t="str">
        <f t="shared" si="6"/>
        <v>31-Dec-21</v>
      </c>
      <c r="D442" t="s">
        <v>21</v>
      </c>
      <c r="E442" t="s">
        <v>28</v>
      </c>
      <c r="F442" t="str">
        <f>"B1P1JR4"</f>
        <v>B1P1JR4</v>
      </c>
      <c r="G442" t="s">
        <v>468</v>
      </c>
      <c r="I442" t="s">
        <v>30</v>
      </c>
      <c r="J442">
        <v>0.007636254</v>
      </c>
      <c r="K442">
        <v>3600</v>
      </c>
      <c r="L442">
        <v>5782092.64</v>
      </c>
      <c r="M442">
        <v>43607.74</v>
      </c>
      <c r="N442">
        <v>1414</v>
      </c>
      <c r="O442">
        <v>5090400</v>
      </c>
      <c r="P442">
        <v>38871.59</v>
      </c>
      <c r="Q442">
        <v>0</v>
      </c>
      <c r="R442">
        <v>0</v>
      </c>
      <c r="S442">
        <v>0.021</v>
      </c>
      <c r="T442" t="s">
        <v>31</v>
      </c>
    </row>
    <row r="443" spans="1:20" ht="15">
      <c r="A443" t="s">
        <v>19</v>
      </c>
      <c r="B443" t="s">
        <v>20</v>
      </c>
      <c r="C443" t="str">
        <f t="shared" si="6"/>
        <v>31-Dec-21</v>
      </c>
      <c r="D443" t="s">
        <v>21</v>
      </c>
      <c r="E443" t="s">
        <v>28</v>
      </c>
      <c r="F443" t="str">
        <f>"6287410"</f>
        <v>6287410</v>
      </c>
      <c r="G443" t="s">
        <v>469</v>
      </c>
      <c r="I443" t="s">
        <v>30</v>
      </c>
      <c r="J443">
        <v>0.007636254</v>
      </c>
      <c r="K443">
        <v>1100</v>
      </c>
      <c r="L443">
        <v>1622324</v>
      </c>
      <c r="M443">
        <v>11374.35</v>
      </c>
      <c r="N443">
        <v>1433</v>
      </c>
      <c r="O443">
        <v>1576300</v>
      </c>
      <c r="P443">
        <v>12037.03</v>
      </c>
      <c r="Q443">
        <v>0</v>
      </c>
      <c r="R443">
        <v>0</v>
      </c>
      <c r="S443">
        <v>0.007</v>
      </c>
      <c r="T443" t="s">
        <v>31</v>
      </c>
    </row>
    <row r="444" spans="1:20" ht="15">
      <c r="A444" t="s">
        <v>19</v>
      </c>
      <c r="B444" t="s">
        <v>20</v>
      </c>
      <c r="C444" t="str">
        <f t="shared" si="6"/>
        <v>31-Dec-21</v>
      </c>
      <c r="D444" t="s">
        <v>21</v>
      </c>
      <c r="E444" t="s">
        <v>28</v>
      </c>
      <c r="F444" t="str">
        <f>"6660204"</f>
        <v>6660204</v>
      </c>
      <c r="G444" t="s">
        <v>470</v>
      </c>
      <c r="I444" t="s">
        <v>30</v>
      </c>
      <c r="J444">
        <v>0.007636254</v>
      </c>
      <c r="K444">
        <v>5200</v>
      </c>
      <c r="L444">
        <v>15224591.02</v>
      </c>
      <c r="M444">
        <v>119623.18</v>
      </c>
      <c r="N444">
        <v>2273</v>
      </c>
      <c r="O444">
        <v>11819600</v>
      </c>
      <c r="P444">
        <v>90257.46</v>
      </c>
      <c r="Q444">
        <v>0</v>
      </c>
      <c r="R444">
        <v>0</v>
      </c>
      <c r="S444">
        <v>0.05</v>
      </c>
      <c r="T444" t="s">
        <v>31</v>
      </c>
    </row>
    <row r="445" spans="1:20" ht="15">
      <c r="A445" t="s">
        <v>19</v>
      </c>
      <c r="B445" t="s">
        <v>20</v>
      </c>
      <c r="C445" t="str">
        <f t="shared" si="6"/>
        <v>31-Dec-21</v>
      </c>
      <c r="D445" t="s">
        <v>21</v>
      </c>
      <c r="E445" t="s">
        <v>28</v>
      </c>
      <c r="F445" t="str">
        <f>"6870100"</f>
        <v>6870100</v>
      </c>
      <c r="G445" t="s">
        <v>471</v>
      </c>
      <c r="I445" t="s">
        <v>30</v>
      </c>
      <c r="J445">
        <v>0.007636254</v>
      </c>
      <c r="K445">
        <v>7400</v>
      </c>
      <c r="L445">
        <v>20915607.37</v>
      </c>
      <c r="M445">
        <v>162870.87</v>
      </c>
      <c r="N445">
        <v>3495</v>
      </c>
      <c r="O445">
        <v>25863000</v>
      </c>
      <c r="P445">
        <v>197496.43</v>
      </c>
      <c r="Q445">
        <v>0</v>
      </c>
      <c r="R445">
        <v>0</v>
      </c>
      <c r="S445">
        <v>0.109</v>
      </c>
      <c r="T445" t="s">
        <v>31</v>
      </c>
    </row>
    <row r="446" spans="1:20" ht="15">
      <c r="A446" t="s">
        <v>19</v>
      </c>
      <c r="B446" t="s">
        <v>20</v>
      </c>
      <c r="C446" t="str">
        <f t="shared" si="6"/>
        <v>31-Dec-21</v>
      </c>
      <c r="D446" t="s">
        <v>21</v>
      </c>
      <c r="E446" t="s">
        <v>28</v>
      </c>
      <c r="F446" t="str">
        <f>"B3QX5G4"</f>
        <v>B3QX5G4</v>
      </c>
      <c r="G446" t="s">
        <v>472</v>
      </c>
      <c r="I446" t="s">
        <v>30</v>
      </c>
      <c r="J446">
        <v>0.007636254</v>
      </c>
      <c r="K446">
        <v>2330</v>
      </c>
      <c r="L446">
        <v>16430534.13</v>
      </c>
      <c r="M446">
        <v>125944.94</v>
      </c>
      <c r="N446">
        <v>5290</v>
      </c>
      <c r="O446">
        <v>12325700</v>
      </c>
      <c r="P446">
        <v>94122.17</v>
      </c>
      <c r="Q446">
        <v>0</v>
      </c>
      <c r="R446">
        <v>0</v>
      </c>
      <c r="S446">
        <v>0.052</v>
      </c>
      <c r="T446" t="s">
        <v>31</v>
      </c>
    </row>
    <row r="447" spans="1:20" ht="15">
      <c r="A447" t="s">
        <v>19</v>
      </c>
      <c r="B447" t="s">
        <v>20</v>
      </c>
      <c r="C447" t="str">
        <f t="shared" si="6"/>
        <v>31-Dec-21</v>
      </c>
      <c r="D447" t="s">
        <v>21</v>
      </c>
      <c r="E447" t="s">
        <v>28</v>
      </c>
      <c r="F447" t="str">
        <f>"6870564"</f>
        <v>6870564</v>
      </c>
      <c r="G447" t="s">
        <v>473</v>
      </c>
      <c r="I447" t="s">
        <v>30</v>
      </c>
      <c r="J447">
        <v>0.007636254</v>
      </c>
      <c r="K447">
        <v>5900</v>
      </c>
      <c r="L447">
        <v>8595677.09</v>
      </c>
      <c r="M447">
        <v>63357.33</v>
      </c>
      <c r="N447">
        <v>6620</v>
      </c>
      <c r="O447">
        <v>39058000</v>
      </c>
      <c r="P447">
        <v>298256.8</v>
      </c>
      <c r="Q447">
        <v>0</v>
      </c>
      <c r="R447">
        <v>0</v>
      </c>
      <c r="S447">
        <v>0.164</v>
      </c>
      <c r="T447" t="s">
        <v>31</v>
      </c>
    </row>
    <row r="448" spans="1:20" ht="15">
      <c r="A448" t="s">
        <v>19</v>
      </c>
      <c r="B448" t="s">
        <v>20</v>
      </c>
      <c r="C448" t="str">
        <f t="shared" si="6"/>
        <v>31-Dec-21</v>
      </c>
      <c r="D448" t="s">
        <v>21</v>
      </c>
      <c r="E448" t="s">
        <v>28</v>
      </c>
      <c r="F448" t="str">
        <f>"B03ML21"</f>
        <v>B03ML21</v>
      </c>
      <c r="G448" t="s">
        <v>474</v>
      </c>
      <c r="I448" t="s">
        <v>30</v>
      </c>
      <c r="J448">
        <v>0.007636254</v>
      </c>
      <c r="K448">
        <v>1800</v>
      </c>
      <c r="L448">
        <v>5389884.32</v>
      </c>
      <c r="M448">
        <v>40725.46</v>
      </c>
      <c r="N448">
        <v>2644</v>
      </c>
      <c r="O448">
        <v>4759200</v>
      </c>
      <c r="P448">
        <v>36342.46</v>
      </c>
      <c r="Q448">
        <v>0</v>
      </c>
      <c r="R448">
        <v>0</v>
      </c>
      <c r="S448">
        <v>0.02</v>
      </c>
      <c r="T448" t="s">
        <v>31</v>
      </c>
    </row>
    <row r="449" spans="1:20" ht="15">
      <c r="A449" t="s">
        <v>19</v>
      </c>
      <c r="B449" t="s">
        <v>20</v>
      </c>
      <c r="C449" t="str">
        <f t="shared" si="6"/>
        <v>31-Dec-21</v>
      </c>
      <c r="D449" t="s">
        <v>21</v>
      </c>
      <c r="E449" t="s">
        <v>28</v>
      </c>
      <c r="F449" t="str">
        <f>"6870382"</f>
        <v>6870382</v>
      </c>
      <c r="G449" t="s">
        <v>475</v>
      </c>
      <c r="I449" t="s">
        <v>30</v>
      </c>
      <c r="J449">
        <v>0.007636254</v>
      </c>
      <c r="K449">
        <v>8800</v>
      </c>
      <c r="L449">
        <v>8207060.7</v>
      </c>
      <c r="M449">
        <v>64724.06</v>
      </c>
      <c r="N449">
        <v>1221</v>
      </c>
      <c r="O449">
        <v>10744800</v>
      </c>
      <c r="P449">
        <v>82050.02</v>
      </c>
      <c r="Q449">
        <v>0</v>
      </c>
      <c r="R449">
        <v>0</v>
      </c>
      <c r="S449">
        <v>0.045</v>
      </c>
      <c r="T449" t="s">
        <v>31</v>
      </c>
    </row>
    <row r="450" spans="1:20" ht="15">
      <c r="A450" t="s">
        <v>19</v>
      </c>
      <c r="B450" t="s">
        <v>20</v>
      </c>
      <c r="C450" t="str">
        <f aca="true" t="shared" si="7" ref="C450:C514">"31-Dec-21"</f>
        <v>31-Dec-21</v>
      </c>
      <c r="D450" t="s">
        <v>21</v>
      </c>
      <c r="E450" t="s">
        <v>28</v>
      </c>
      <c r="F450" t="str">
        <f>"6870401"</f>
        <v>6870401</v>
      </c>
      <c r="G450" t="s">
        <v>476</v>
      </c>
      <c r="I450" t="s">
        <v>30</v>
      </c>
      <c r="J450">
        <v>0.007636254</v>
      </c>
      <c r="K450">
        <v>5100</v>
      </c>
      <c r="L450">
        <v>10373220.39</v>
      </c>
      <c r="M450">
        <v>80051.85</v>
      </c>
      <c r="N450">
        <v>1070</v>
      </c>
      <c r="O450">
        <v>5457000</v>
      </c>
      <c r="P450">
        <v>41671.04</v>
      </c>
      <c r="Q450">
        <v>0</v>
      </c>
      <c r="R450">
        <v>0</v>
      </c>
      <c r="S450">
        <v>0.023</v>
      </c>
      <c r="T450" t="s">
        <v>31</v>
      </c>
    </row>
    <row r="451" spans="1:20" ht="15">
      <c r="A451" t="s">
        <v>19</v>
      </c>
      <c r="B451" t="s">
        <v>20</v>
      </c>
      <c r="C451" t="str">
        <f t="shared" si="7"/>
        <v>31-Dec-21</v>
      </c>
      <c r="D451" t="s">
        <v>21</v>
      </c>
      <c r="E451" t="s">
        <v>28</v>
      </c>
      <c r="F451" t="str">
        <f>"6870445"</f>
        <v>6870445</v>
      </c>
      <c r="G451" t="s">
        <v>477</v>
      </c>
      <c r="I451" t="s">
        <v>30</v>
      </c>
      <c r="J451">
        <v>0.007636254</v>
      </c>
      <c r="K451">
        <v>71000</v>
      </c>
      <c r="L451">
        <v>317807154.99</v>
      </c>
      <c r="M451">
        <v>2482447.57</v>
      </c>
      <c r="N451">
        <v>3137</v>
      </c>
      <c r="O451">
        <v>222727000</v>
      </c>
      <c r="P451">
        <v>1700799.88</v>
      </c>
      <c r="Q451">
        <v>0</v>
      </c>
      <c r="R451">
        <v>0</v>
      </c>
      <c r="S451">
        <v>0.938</v>
      </c>
      <c r="T451" t="s">
        <v>31</v>
      </c>
    </row>
    <row r="452" spans="1:20" ht="15">
      <c r="A452" t="s">
        <v>19</v>
      </c>
      <c r="B452" t="s">
        <v>20</v>
      </c>
      <c r="C452" t="str">
        <f t="shared" si="7"/>
        <v>31-Dec-21</v>
      </c>
      <c r="D452" t="s">
        <v>21</v>
      </c>
      <c r="E452" t="s">
        <v>28</v>
      </c>
      <c r="F452" t="str">
        <f>"BSM8SQ9"</f>
        <v>BSM8SQ9</v>
      </c>
      <c r="G452" t="s">
        <v>478</v>
      </c>
      <c r="I452" t="s">
        <v>30</v>
      </c>
      <c r="J452">
        <v>0.007636254</v>
      </c>
      <c r="K452">
        <v>4800</v>
      </c>
      <c r="L452">
        <v>10659714.19</v>
      </c>
      <c r="M452">
        <v>82197.1</v>
      </c>
      <c r="N452">
        <v>3490</v>
      </c>
      <c r="O452">
        <v>16752000</v>
      </c>
      <c r="P452">
        <v>127922.52</v>
      </c>
      <c r="Q452">
        <v>81600</v>
      </c>
      <c r="R452">
        <v>623.12</v>
      </c>
      <c r="S452">
        <v>0.071</v>
      </c>
      <c r="T452" t="s">
        <v>31</v>
      </c>
    </row>
    <row r="453" spans="1:20" ht="15">
      <c r="A453" t="s">
        <v>19</v>
      </c>
      <c r="B453" t="s">
        <v>20</v>
      </c>
      <c r="C453" t="str">
        <f t="shared" si="7"/>
        <v>31-Dec-21</v>
      </c>
      <c r="D453" t="s">
        <v>21</v>
      </c>
      <c r="E453" t="s">
        <v>28</v>
      </c>
      <c r="F453" t="str">
        <f>"6880507"</f>
        <v>6880507</v>
      </c>
      <c r="G453" t="s">
        <v>479</v>
      </c>
      <c r="I453" t="s">
        <v>30</v>
      </c>
      <c r="J453">
        <v>0.007636254</v>
      </c>
      <c r="K453">
        <v>7300</v>
      </c>
      <c r="L453">
        <v>14913416.46</v>
      </c>
      <c r="M453">
        <v>113398.65</v>
      </c>
      <c r="N453">
        <v>1415</v>
      </c>
      <c r="O453">
        <v>10329500</v>
      </c>
      <c r="P453">
        <v>78878.68</v>
      </c>
      <c r="Q453">
        <v>0</v>
      </c>
      <c r="R453">
        <v>0</v>
      </c>
      <c r="S453">
        <v>0.043</v>
      </c>
      <c r="T453" t="s">
        <v>31</v>
      </c>
    </row>
    <row r="454" spans="1:20" ht="15">
      <c r="A454" t="s">
        <v>19</v>
      </c>
      <c r="B454" t="s">
        <v>20</v>
      </c>
      <c r="C454" t="str">
        <f t="shared" si="7"/>
        <v>31-Dec-21</v>
      </c>
      <c r="D454" t="s">
        <v>21</v>
      </c>
      <c r="E454" t="s">
        <v>28</v>
      </c>
      <c r="F454" t="str">
        <f>"6885074"</f>
        <v>6885074</v>
      </c>
      <c r="G454" t="s">
        <v>480</v>
      </c>
      <c r="I454" t="s">
        <v>30</v>
      </c>
      <c r="J454">
        <v>0.007636254</v>
      </c>
      <c r="K454">
        <v>30800</v>
      </c>
      <c r="L454">
        <v>46583718.54</v>
      </c>
      <c r="M454">
        <v>369752.8</v>
      </c>
      <c r="N454">
        <v>4860</v>
      </c>
      <c r="O454">
        <v>149688000</v>
      </c>
      <c r="P454">
        <v>1143055.55</v>
      </c>
      <c r="Q454">
        <v>0</v>
      </c>
      <c r="R454">
        <v>0</v>
      </c>
      <c r="S454">
        <v>0.63</v>
      </c>
      <c r="T454" t="s">
        <v>31</v>
      </c>
    </row>
    <row r="455" spans="1:20" ht="15">
      <c r="A455" t="s">
        <v>19</v>
      </c>
      <c r="B455" t="s">
        <v>20</v>
      </c>
      <c r="C455" t="str">
        <f t="shared" si="7"/>
        <v>31-Dec-21</v>
      </c>
      <c r="D455" t="s">
        <v>21</v>
      </c>
      <c r="E455" t="s">
        <v>28</v>
      </c>
      <c r="F455" t="str">
        <f>"6895169"</f>
        <v>6895169</v>
      </c>
      <c r="G455" t="s">
        <v>481</v>
      </c>
      <c r="I455" t="s">
        <v>30</v>
      </c>
      <c r="J455">
        <v>0.007636254</v>
      </c>
      <c r="K455">
        <v>9900</v>
      </c>
      <c r="L455">
        <v>24703363.14</v>
      </c>
      <c r="M455">
        <v>195951.46</v>
      </c>
      <c r="N455">
        <v>2622</v>
      </c>
      <c r="O455">
        <v>25957800</v>
      </c>
      <c r="P455">
        <v>198220.35</v>
      </c>
      <c r="Q455">
        <v>0</v>
      </c>
      <c r="R455">
        <v>0</v>
      </c>
      <c r="S455">
        <v>0.109</v>
      </c>
      <c r="T455" t="s">
        <v>31</v>
      </c>
    </row>
    <row r="456" spans="1:20" ht="15">
      <c r="A456" t="s">
        <v>19</v>
      </c>
      <c r="B456" t="s">
        <v>20</v>
      </c>
      <c r="C456" t="str">
        <f t="shared" si="7"/>
        <v>31-Dec-21</v>
      </c>
      <c r="D456" t="s">
        <v>21</v>
      </c>
      <c r="E456" t="s">
        <v>28</v>
      </c>
      <c r="F456" t="str">
        <f>"6893884"</f>
        <v>6893884</v>
      </c>
      <c r="G456" t="s">
        <v>482</v>
      </c>
      <c r="I456" t="s">
        <v>30</v>
      </c>
      <c r="J456">
        <v>0.007636254</v>
      </c>
      <c r="K456">
        <v>10300</v>
      </c>
      <c r="L456">
        <v>5243703.08</v>
      </c>
      <c r="M456">
        <v>40849.75</v>
      </c>
      <c r="N456">
        <v>728</v>
      </c>
      <c r="O456">
        <v>7498400</v>
      </c>
      <c r="P456">
        <v>57259.68</v>
      </c>
      <c r="Q456">
        <v>0</v>
      </c>
      <c r="R456">
        <v>0</v>
      </c>
      <c r="S456">
        <v>0.032</v>
      </c>
      <c r="T456" t="s">
        <v>31</v>
      </c>
    </row>
    <row r="457" spans="1:20" ht="15">
      <c r="A457" t="s">
        <v>19</v>
      </c>
      <c r="B457" t="s">
        <v>20</v>
      </c>
      <c r="C457" t="str">
        <f t="shared" si="7"/>
        <v>31-Dec-21</v>
      </c>
      <c r="D457" t="s">
        <v>21</v>
      </c>
      <c r="E457" t="s">
        <v>28</v>
      </c>
      <c r="F457" t="str">
        <f>"6895200"</f>
        <v>6895200</v>
      </c>
      <c r="G457" t="s">
        <v>483</v>
      </c>
      <c r="I457" t="s">
        <v>30</v>
      </c>
      <c r="J457">
        <v>0.007636254</v>
      </c>
      <c r="K457">
        <v>5200</v>
      </c>
      <c r="L457">
        <v>13463553.53</v>
      </c>
      <c r="M457">
        <v>105590.02</v>
      </c>
      <c r="N457">
        <v>4925</v>
      </c>
      <c r="O457">
        <v>25610000</v>
      </c>
      <c r="P457">
        <v>195564.46</v>
      </c>
      <c r="Q457">
        <v>0</v>
      </c>
      <c r="R457">
        <v>0</v>
      </c>
      <c r="S457">
        <v>0.108</v>
      </c>
      <c r="T457" t="s">
        <v>31</v>
      </c>
    </row>
    <row r="458" spans="1:20" ht="15">
      <c r="A458" t="s">
        <v>19</v>
      </c>
      <c r="B458" t="s">
        <v>20</v>
      </c>
      <c r="C458" t="str">
        <f t="shared" si="7"/>
        <v>31-Dec-21</v>
      </c>
      <c r="D458" t="s">
        <v>21</v>
      </c>
      <c r="E458" t="s">
        <v>28</v>
      </c>
      <c r="F458" t="str">
        <f>"6895222"</f>
        <v>6895222</v>
      </c>
      <c r="G458" t="s">
        <v>484</v>
      </c>
      <c r="I458" t="s">
        <v>30</v>
      </c>
      <c r="J458">
        <v>0.007636254</v>
      </c>
      <c r="K458">
        <v>4300</v>
      </c>
      <c r="L458">
        <v>13016840.36</v>
      </c>
      <c r="M458">
        <v>102482.2</v>
      </c>
      <c r="N458">
        <v>2929</v>
      </c>
      <c r="O458">
        <v>12594700</v>
      </c>
      <c r="P458">
        <v>96176.32</v>
      </c>
      <c r="Q458">
        <v>0</v>
      </c>
      <c r="R458">
        <v>0</v>
      </c>
      <c r="S458">
        <v>0.053</v>
      </c>
      <c r="T458" t="s">
        <v>31</v>
      </c>
    </row>
    <row r="459" spans="1:20" ht="15">
      <c r="A459" t="s">
        <v>19</v>
      </c>
      <c r="B459" t="s">
        <v>20</v>
      </c>
      <c r="C459" t="str">
        <f t="shared" si="7"/>
        <v>31-Dec-21</v>
      </c>
      <c r="D459" t="s">
        <v>21</v>
      </c>
      <c r="E459" t="s">
        <v>28</v>
      </c>
      <c r="F459" t="str">
        <f>"6895266"</f>
        <v>6895266</v>
      </c>
      <c r="G459" t="s">
        <v>485</v>
      </c>
      <c r="I459" t="s">
        <v>30</v>
      </c>
      <c r="J459">
        <v>0.007636254</v>
      </c>
      <c r="K459">
        <v>22900</v>
      </c>
      <c r="L459">
        <v>34274830.68</v>
      </c>
      <c r="M459">
        <v>257796.12</v>
      </c>
      <c r="N459">
        <v>816</v>
      </c>
      <c r="O459">
        <v>18686400</v>
      </c>
      <c r="P459">
        <v>142694.09</v>
      </c>
      <c r="Q459">
        <v>0</v>
      </c>
      <c r="R459">
        <v>0</v>
      </c>
      <c r="S459">
        <v>0.079</v>
      </c>
      <c r="T459" t="s">
        <v>31</v>
      </c>
    </row>
    <row r="460" spans="1:20" ht="15">
      <c r="A460" t="s">
        <v>19</v>
      </c>
      <c r="B460" t="s">
        <v>20</v>
      </c>
      <c r="C460" t="str">
        <f t="shared" si="7"/>
        <v>31-Dec-21</v>
      </c>
      <c r="D460" t="s">
        <v>21</v>
      </c>
      <c r="E460" t="s">
        <v>28</v>
      </c>
      <c r="F460" t="str">
        <f>"6894003"</f>
        <v>6894003</v>
      </c>
      <c r="G460" t="s">
        <v>486</v>
      </c>
      <c r="I460" t="s">
        <v>30</v>
      </c>
      <c r="J460">
        <v>0.007636254</v>
      </c>
      <c r="K460">
        <v>10200</v>
      </c>
      <c r="L460">
        <v>17248391.3</v>
      </c>
      <c r="M460">
        <v>132383.8</v>
      </c>
      <c r="N460">
        <v>1208</v>
      </c>
      <c r="O460">
        <v>12321600</v>
      </c>
      <c r="P460">
        <v>94090.86</v>
      </c>
      <c r="Q460">
        <v>130050</v>
      </c>
      <c r="R460">
        <v>993.1</v>
      </c>
      <c r="S460">
        <v>0.052</v>
      </c>
      <c r="T460" t="s">
        <v>31</v>
      </c>
    </row>
    <row r="461" spans="1:20" ht="15">
      <c r="A461" t="s">
        <v>19</v>
      </c>
      <c r="B461" t="s">
        <v>20</v>
      </c>
      <c r="C461" t="str">
        <f t="shared" si="7"/>
        <v>31-Dec-21</v>
      </c>
      <c r="D461" t="s">
        <v>21</v>
      </c>
      <c r="E461" t="s">
        <v>28</v>
      </c>
      <c r="F461" t="str">
        <f>"6894025"</f>
        <v>6894025</v>
      </c>
      <c r="G461" t="s">
        <v>487</v>
      </c>
      <c r="I461" t="s">
        <v>30</v>
      </c>
      <c r="J461">
        <v>0.007636254</v>
      </c>
      <c r="K461">
        <v>700</v>
      </c>
      <c r="L461">
        <v>1520111.18</v>
      </c>
      <c r="M461">
        <v>11711.77</v>
      </c>
      <c r="N461">
        <v>1548</v>
      </c>
      <c r="O461">
        <v>1083600</v>
      </c>
      <c r="P461">
        <v>8274.64</v>
      </c>
      <c r="Q461">
        <v>0</v>
      </c>
      <c r="R461">
        <v>0</v>
      </c>
      <c r="S461">
        <v>0.005</v>
      </c>
      <c r="T461" t="s">
        <v>31</v>
      </c>
    </row>
    <row r="462" spans="1:20" ht="15">
      <c r="A462" t="s">
        <v>19</v>
      </c>
      <c r="B462" t="s">
        <v>20</v>
      </c>
      <c r="C462" t="str">
        <f t="shared" si="7"/>
        <v>31-Dec-21</v>
      </c>
      <c r="D462" t="s">
        <v>21</v>
      </c>
      <c r="E462" t="s">
        <v>28</v>
      </c>
      <c r="F462" t="str">
        <f>"6513126"</f>
        <v>6513126</v>
      </c>
      <c r="G462" t="s">
        <v>488</v>
      </c>
      <c r="I462" t="s">
        <v>30</v>
      </c>
      <c r="J462">
        <v>0.007636254</v>
      </c>
      <c r="K462">
        <v>30200</v>
      </c>
      <c r="L462">
        <v>108565976.8</v>
      </c>
      <c r="M462">
        <v>842867.16</v>
      </c>
      <c r="N462">
        <v>6392</v>
      </c>
      <c r="O462">
        <v>193038400</v>
      </c>
      <c r="P462">
        <v>1474090.2</v>
      </c>
      <c r="Q462">
        <v>0</v>
      </c>
      <c r="R462">
        <v>0</v>
      </c>
      <c r="S462">
        <v>0.813</v>
      </c>
      <c r="T462" t="s">
        <v>31</v>
      </c>
    </row>
    <row r="463" spans="1:20" ht="15">
      <c r="A463" t="s">
        <v>19</v>
      </c>
      <c r="B463" t="s">
        <v>20</v>
      </c>
      <c r="C463" t="str">
        <f t="shared" si="7"/>
        <v>31-Dec-21</v>
      </c>
      <c r="D463" t="s">
        <v>21</v>
      </c>
      <c r="E463" t="s">
        <v>28</v>
      </c>
      <c r="F463" t="str">
        <f>"6895761"</f>
        <v>6895761</v>
      </c>
      <c r="G463" t="s">
        <v>489</v>
      </c>
      <c r="I463" t="s">
        <v>30</v>
      </c>
      <c r="J463">
        <v>0.007636254</v>
      </c>
      <c r="K463">
        <v>2700</v>
      </c>
      <c r="L463">
        <v>8863452.98</v>
      </c>
      <c r="M463">
        <v>68028.23</v>
      </c>
      <c r="N463">
        <v>1828</v>
      </c>
      <c r="O463">
        <v>4935600</v>
      </c>
      <c r="P463">
        <v>37689.49</v>
      </c>
      <c r="Q463">
        <v>0</v>
      </c>
      <c r="R463">
        <v>0</v>
      </c>
      <c r="S463">
        <v>0.021</v>
      </c>
      <c r="T463" t="s">
        <v>31</v>
      </c>
    </row>
    <row r="464" spans="1:20" ht="15">
      <c r="A464" t="s">
        <v>19</v>
      </c>
      <c r="B464" t="s">
        <v>20</v>
      </c>
      <c r="C464" t="str">
        <f t="shared" si="7"/>
        <v>31-Dec-21</v>
      </c>
      <c r="D464" t="s">
        <v>21</v>
      </c>
      <c r="E464" t="s">
        <v>28</v>
      </c>
      <c r="F464" t="str">
        <f>"6679794"</f>
        <v>6679794</v>
      </c>
      <c r="G464" t="s">
        <v>490</v>
      </c>
      <c r="I464" t="s">
        <v>30</v>
      </c>
      <c r="J464">
        <v>0.007636254</v>
      </c>
      <c r="K464">
        <v>2900</v>
      </c>
      <c r="L464">
        <v>10881875.77</v>
      </c>
      <c r="M464">
        <v>89260.77</v>
      </c>
      <c r="N464">
        <v>5580</v>
      </c>
      <c r="O464">
        <v>16182000</v>
      </c>
      <c r="P464">
        <v>123569.86</v>
      </c>
      <c r="Q464">
        <v>0</v>
      </c>
      <c r="R464">
        <v>0</v>
      </c>
      <c r="S464">
        <v>0.068</v>
      </c>
      <c r="T464" t="s">
        <v>31</v>
      </c>
    </row>
    <row r="465" spans="1:20" ht="15">
      <c r="A465" t="s">
        <v>19</v>
      </c>
      <c r="B465" t="s">
        <v>20</v>
      </c>
      <c r="C465" t="str">
        <f t="shared" si="7"/>
        <v>31-Dec-21</v>
      </c>
      <c r="D465" t="s">
        <v>21</v>
      </c>
      <c r="E465" t="s">
        <v>28</v>
      </c>
      <c r="F465" t="str">
        <f>"6895404"</f>
        <v>6895404</v>
      </c>
      <c r="G465" t="s">
        <v>491</v>
      </c>
      <c r="I465" t="s">
        <v>30</v>
      </c>
      <c r="J465">
        <v>0.007636254</v>
      </c>
      <c r="K465">
        <v>66300</v>
      </c>
      <c r="L465">
        <v>58371380.39</v>
      </c>
      <c r="M465">
        <v>421820.37</v>
      </c>
      <c r="N465">
        <v>297</v>
      </c>
      <c r="O465">
        <v>19691100</v>
      </c>
      <c r="P465">
        <v>150366.24</v>
      </c>
      <c r="Q465">
        <v>0</v>
      </c>
      <c r="R465">
        <v>0</v>
      </c>
      <c r="S465">
        <v>0.083</v>
      </c>
      <c r="T465" t="s">
        <v>31</v>
      </c>
    </row>
    <row r="466" spans="1:20" ht="15">
      <c r="A466" t="s">
        <v>19</v>
      </c>
      <c r="B466" t="s">
        <v>20</v>
      </c>
      <c r="C466" t="str">
        <f t="shared" si="7"/>
        <v>31-Dec-21</v>
      </c>
      <c r="D466" t="s">
        <v>21</v>
      </c>
      <c r="E466" t="s">
        <v>28</v>
      </c>
      <c r="F466" t="str">
        <f>"6895675"</f>
        <v>6895675</v>
      </c>
      <c r="G466" t="s">
        <v>492</v>
      </c>
      <c r="I466" t="s">
        <v>30</v>
      </c>
      <c r="J466">
        <v>0.007636254</v>
      </c>
      <c r="K466">
        <v>6900</v>
      </c>
      <c r="L466">
        <v>62646413.51</v>
      </c>
      <c r="M466">
        <v>494021.01</v>
      </c>
      <c r="N466">
        <v>66280</v>
      </c>
      <c r="O466">
        <v>457332000</v>
      </c>
      <c r="P466">
        <v>3492303.18</v>
      </c>
      <c r="Q466">
        <v>0</v>
      </c>
      <c r="R466">
        <v>0</v>
      </c>
      <c r="S466">
        <v>1.925</v>
      </c>
      <c r="T466" t="s">
        <v>31</v>
      </c>
    </row>
    <row r="467" spans="1:20" ht="15">
      <c r="A467" t="s">
        <v>19</v>
      </c>
      <c r="B467" t="s">
        <v>20</v>
      </c>
      <c r="C467" t="str">
        <f t="shared" si="7"/>
        <v>31-Dec-21</v>
      </c>
      <c r="D467" t="s">
        <v>21</v>
      </c>
      <c r="E467" t="s">
        <v>28</v>
      </c>
      <c r="F467" t="str">
        <f>"6895448"</f>
        <v>6895448</v>
      </c>
      <c r="G467" t="s">
        <v>493</v>
      </c>
      <c r="I467" t="s">
        <v>30</v>
      </c>
      <c r="J467">
        <v>0.007636254</v>
      </c>
      <c r="K467">
        <v>19964</v>
      </c>
      <c r="L467">
        <v>49436473.67</v>
      </c>
      <c r="M467">
        <v>389695.24</v>
      </c>
      <c r="N467">
        <v>2062</v>
      </c>
      <c r="O467">
        <v>41165768</v>
      </c>
      <c r="P467">
        <v>314352.25</v>
      </c>
      <c r="Q467">
        <v>0</v>
      </c>
      <c r="R467">
        <v>0</v>
      </c>
      <c r="S467">
        <v>0.173</v>
      </c>
      <c r="T467" t="s">
        <v>31</v>
      </c>
    </row>
    <row r="468" spans="1:20" ht="15">
      <c r="A468" t="s">
        <v>19</v>
      </c>
      <c r="B468" t="s">
        <v>20</v>
      </c>
      <c r="C468" t="str">
        <f t="shared" si="7"/>
        <v>31-Dec-21</v>
      </c>
      <c r="D468" t="s">
        <v>21</v>
      </c>
      <c r="E468" t="s">
        <v>28</v>
      </c>
      <c r="F468" t="str">
        <f>"6894898"</f>
        <v>6894898</v>
      </c>
      <c r="G468" t="s">
        <v>494</v>
      </c>
      <c r="I468" t="s">
        <v>30</v>
      </c>
      <c r="J468">
        <v>0.007636254</v>
      </c>
      <c r="K468">
        <v>1900</v>
      </c>
      <c r="L468">
        <v>10343507.48</v>
      </c>
      <c r="M468">
        <v>83206</v>
      </c>
      <c r="N468">
        <v>6800</v>
      </c>
      <c r="O468">
        <v>12920000</v>
      </c>
      <c r="P468">
        <v>98660.4</v>
      </c>
      <c r="Q468">
        <v>100130</v>
      </c>
      <c r="R468">
        <v>764.62</v>
      </c>
      <c r="S468">
        <v>0.055</v>
      </c>
      <c r="T468" t="s">
        <v>31</v>
      </c>
    </row>
    <row r="469" spans="1:20" ht="15">
      <c r="A469" t="s">
        <v>19</v>
      </c>
      <c r="B469" t="s">
        <v>20</v>
      </c>
      <c r="C469" t="str">
        <f t="shared" si="7"/>
        <v>31-Dec-21</v>
      </c>
      <c r="D469" t="s">
        <v>21</v>
      </c>
      <c r="E469" t="s">
        <v>28</v>
      </c>
      <c r="F469" t="str">
        <f>"6895426"</f>
        <v>6895426</v>
      </c>
      <c r="G469" t="s">
        <v>495</v>
      </c>
      <c r="I469" t="s">
        <v>30</v>
      </c>
      <c r="J469">
        <v>0.007636254</v>
      </c>
      <c r="K469">
        <v>8900</v>
      </c>
      <c r="L469">
        <v>12793352.35</v>
      </c>
      <c r="M469">
        <v>96710.45</v>
      </c>
      <c r="N469">
        <v>1680</v>
      </c>
      <c r="O469">
        <v>14952000</v>
      </c>
      <c r="P469">
        <v>114177.27</v>
      </c>
      <c r="Q469">
        <v>181560</v>
      </c>
      <c r="R469">
        <v>1386.43</v>
      </c>
      <c r="S469">
        <v>0.064</v>
      </c>
      <c r="T469" t="s">
        <v>31</v>
      </c>
    </row>
    <row r="470" spans="1:20" ht="15">
      <c r="A470" t="s">
        <v>19</v>
      </c>
      <c r="B470" t="s">
        <v>20</v>
      </c>
      <c r="C470" t="str">
        <f t="shared" si="7"/>
        <v>31-Dec-21</v>
      </c>
      <c r="D470" t="s">
        <v>21</v>
      </c>
      <c r="E470" t="s">
        <v>28</v>
      </c>
      <c r="F470" t="str">
        <f>"6896548"</f>
        <v>6896548</v>
      </c>
      <c r="G470" t="s">
        <v>496</v>
      </c>
      <c r="I470" t="s">
        <v>30</v>
      </c>
      <c r="J470">
        <v>0.007636254</v>
      </c>
      <c r="K470">
        <v>23400</v>
      </c>
      <c r="L470">
        <v>33230317.48</v>
      </c>
      <c r="M470">
        <v>261050.67</v>
      </c>
      <c r="N470">
        <v>1528</v>
      </c>
      <c r="O470">
        <v>35755200</v>
      </c>
      <c r="P470">
        <v>273035.78</v>
      </c>
      <c r="Q470">
        <v>0</v>
      </c>
      <c r="R470">
        <v>0</v>
      </c>
      <c r="S470">
        <v>0.151</v>
      </c>
      <c r="T470" t="s">
        <v>31</v>
      </c>
    </row>
    <row r="471" spans="1:20" ht="15">
      <c r="A471" t="s">
        <v>19</v>
      </c>
      <c r="B471" t="s">
        <v>20</v>
      </c>
      <c r="C471" t="str">
        <f t="shared" si="7"/>
        <v>31-Dec-21</v>
      </c>
      <c r="D471" t="s">
        <v>21</v>
      </c>
      <c r="E471" t="s">
        <v>28</v>
      </c>
      <c r="F471" t="str">
        <f>"BDC6LT2"</f>
        <v>BDC6LT2</v>
      </c>
      <c r="G471" t="s">
        <v>497</v>
      </c>
      <c r="I471" t="s">
        <v>30</v>
      </c>
      <c r="J471">
        <v>0.007636254</v>
      </c>
      <c r="K471">
        <v>29100</v>
      </c>
      <c r="L471">
        <v>22351060.43</v>
      </c>
      <c r="M471">
        <v>171400</v>
      </c>
      <c r="N471">
        <v>643</v>
      </c>
      <c r="O471">
        <v>18711300</v>
      </c>
      <c r="P471">
        <v>142884.23</v>
      </c>
      <c r="Q471">
        <v>0</v>
      </c>
      <c r="R471">
        <v>0</v>
      </c>
      <c r="S471">
        <v>0.079</v>
      </c>
      <c r="T471" t="s">
        <v>31</v>
      </c>
    </row>
    <row r="472" spans="1:20" ht="15">
      <c r="A472" t="s">
        <v>19</v>
      </c>
      <c r="B472" t="s">
        <v>20</v>
      </c>
      <c r="C472" t="str">
        <f t="shared" si="7"/>
        <v>31-Dec-21</v>
      </c>
      <c r="D472" t="s">
        <v>21</v>
      </c>
      <c r="E472" t="s">
        <v>28</v>
      </c>
      <c r="F472" t="str">
        <f>"6897143"</f>
        <v>6897143</v>
      </c>
      <c r="G472" t="s">
        <v>498</v>
      </c>
      <c r="I472" t="s">
        <v>30</v>
      </c>
      <c r="J472">
        <v>0.007636254</v>
      </c>
      <c r="K472">
        <v>71100</v>
      </c>
      <c r="L472">
        <v>50796286.58</v>
      </c>
      <c r="M472">
        <v>401761.11</v>
      </c>
      <c r="N472">
        <v>681.8</v>
      </c>
      <c r="O472">
        <v>48475980</v>
      </c>
      <c r="P472">
        <v>370174.88</v>
      </c>
      <c r="Q472">
        <v>0</v>
      </c>
      <c r="R472">
        <v>0</v>
      </c>
      <c r="S472">
        <v>0.204</v>
      </c>
      <c r="T472" t="s">
        <v>31</v>
      </c>
    </row>
    <row r="473" spans="1:20" ht="15">
      <c r="A473" t="s">
        <v>19</v>
      </c>
      <c r="B473" t="s">
        <v>20</v>
      </c>
      <c r="C473" t="str">
        <f t="shared" si="7"/>
        <v>31-Dec-21</v>
      </c>
      <c r="D473" t="s">
        <v>21</v>
      </c>
      <c r="E473" t="s">
        <v>28</v>
      </c>
      <c r="F473" t="str">
        <f>"6897217"</f>
        <v>6897217</v>
      </c>
      <c r="G473" t="s">
        <v>499</v>
      </c>
      <c r="I473" t="s">
        <v>30</v>
      </c>
      <c r="J473">
        <v>0.007636254</v>
      </c>
      <c r="K473">
        <v>19150</v>
      </c>
      <c r="L473">
        <v>76445475.95</v>
      </c>
      <c r="M473">
        <v>593800.8</v>
      </c>
      <c r="N473">
        <v>4730</v>
      </c>
      <c r="O473">
        <v>90579500</v>
      </c>
      <c r="P473">
        <v>691688.04</v>
      </c>
      <c r="Q473">
        <v>0</v>
      </c>
      <c r="R473">
        <v>0</v>
      </c>
      <c r="S473">
        <v>0.381</v>
      </c>
      <c r="T473" t="s">
        <v>31</v>
      </c>
    </row>
    <row r="474" spans="1:20" ht="15">
      <c r="A474" t="s">
        <v>19</v>
      </c>
      <c r="B474" t="s">
        <v>20</v>
      </c>
      <c r="C474" t="str">
        <f t="shared" si="7"/>
        <v>31-Dec-21</v>
      </c>
      <c r="D474" t="s">
        <v>21</v>
      </c>
      <c r="E474" t="s">
        <v>28</v>
      </c>
      <c r="F474" t="str">
        <f>"6894887"</f>
        <v>6894887</v>
      </c>
      <c r="G474" t="s">
        <v>500</v>
      </c>
      <c r="I474" t="s">
        <v>30</v>
      </c>
      <c r="J474">
        <v>0.007636254</v>
      </c>
      <c r="K474">
        <v>800</v>
      </c>
      <c r="L474">
        <v>3515168</v>
      </c>
      <c r="M474">
        <v>29206.1</v>
      </c>
      <c r="N474">
        <v>4705</v>
      </c>
      <c r="O474">
        <v>3764000</v>
      </c>
      <c r="P474">
        <v>28742.86</v>
      </c>
      <c r="Q474">
        <v>0</v>
      </c>
      <c r="R474">
        <v>0</v>
      </c>
      <c r="S474">
        <v>0.016</v>
      </c>
      <c r="T474" t="s">
        <v>31</v>
      </c>
    </row>
    <row r="475" spans="1:20" ht="15">
      <c r="A475" t="s">
        <v>19</v>
      </c>
      <c r="B475" t="s">
        <v>20</v>
      </c>
      <c r="C475" t="str">
        <f t="shared" si="7"/>
        <v>31-Dec-21</v>
      </c>
      <c r="D475" t="s">
        <v>21</v>
      </c>
      <c r="E475" t="s">
        <v>28</v>
      </c>
      <c r="F475" t="str">
        <f>"6900289"</f>
        <v>6900289</v>
      </c>
      <c r="G475" t="s">
        <v>501</v>
      </c>
      <c r="I475" t="s">
        <v>30</v>
      </c>
      <c r="J475">
        <v>0.007636254</v>
      </c>
      <c r="K475">
        <v>13500</v>
      </c>
      <c r="L475">
        <v>15173540.55</v>
      </c>
      <c r="M475">
        <v>118107.62</v>
      </c>
      <c r="N475">
        <v>1706</v>
      </c>
      <c r="O475">
        <v>23031000</v>
      </c>
      <c r="P475">
        <v>175870.56</v>
      </c>
      <c r="Q475">
        <v>0</v>
      </c>
      <c r="R475">
        <v>0</v>
      </c>
      <c r="S475">
        <v>0.097</v>
      </c>
      <c r="T475" t="s">
        <v>31</v>
      </c>
    </row>
    <row r="476" spans="1:20" ht="15">
      <c r="A476" t="s">
        <v>19</v>
      </c>
      <c r="B476" t="s">
        <v>20</v>
      </c>
      <c r="C476" t="str">
        <f t="shared" si="7"/>
        <v>31-Dec-21</v>
      </c>
      <c r="D476" t="s">
        <v>21</v>
      </c>
      <c r="E476" t="s">
        <v>28</v>
      </c>
      <c r="F476" t="str">
        <f>"6900267"</f>
        <v>6900267</v>
      </c>
      <c r="G476" t="s">
        <v>502</v>
      </c>
      <c r="I476" t="s">
        <v>30</v>
      </c>
      <c r="J476">
        <v>0.007636254</v>
      </c>
      <c r="K476">
        <v>5700</v>
      </c>
      <c r="L476">
        <v>10216268.66</v>
      </c>
      <c r="M476">
        <v>78323.91</v>
      </c>
      <c r="N476">
        <v>1373</v>
      </c>
      <c r="O476">
        <v>7826100</v>
      </c>
      <c r="P476">
        <v>59762.09</v>
      </c>
      <c r="Q476">
        <v>0</v>
      </c>
      <c r="R476">
        <v>0</v>
      </c>
      <c r="S476">
        <v>0.033</v>
      </c>
      <c r="T476" t="s">
        <v>31</v>
      </c>
    </row>
    <row r="477" spans="1:20" ht="15">
      <c r="A477" t="s">
        <v>19</v>
      </c>
      <c r="B477" t="s">
        <v>20</v>
      </c>
      <c r="C477" t="str">
        <f t="shared" si="7"/>
        <v>31-Dec-21</v>
      </c>
      <c r="D477" t="s">
        <v>21</v>
      </c>
      <c r="E477" t="s">
        <v>28</v>
      </c>
      <c r="F477" t="str">
        <f>"6899967"</f>
        <v>6899967</v>
      </c>
      <c r="G477" t="s">
        <v>503</v>
      </c>
      <c r="I477" t="s">
        <v>30</v>
      </c>
      <c r="J477">
        <v>0.007636254</v>
      </c>
      <c r="K477">
        <v>4400</v>
      </c>
      <c r="L477">
        <v>14299012.86</v>
      </c>
      <c r="M477">
        <v>113588.1</v>
      </c>
      <c r="N477">
        <v>4875</v>
      </c>
      <c r="O477">
        <v>21450000</v>
      </c>
      <c r="P477">
        <v>163797.64</v>
      </c>
      <c r="Q477">
        <v>0</v>
      </c>
      <c r="R477">
        <v>0</v>
      </c>
      <c r="S477">
        <v>0.09</v>
      </c>
      <c r="T477" t="s">
        <v>31</v>
      </c>
    </row>
    <row r="478" spans="1:20" ht="15">
      <c r="A478" t="s">
        <v>19</v>
      </c>
      <c r="B478" t="s">
        <v>20</v>
      </c>
      <c r="C478" t="str">
        <f t="shared" si="7"/>
        <v>31-Dec-21</v>
      </c>
      <c r="D478" t="s">
        <v>21</v>
      </c>
      <c r="E478" t="s">
        <v>28</v>
      </c>
      <c r="F478" t="str">
        <f>"6900182"</f>
        <v>6900182</v>
      </c>
      <c r="G478" t="s">
        <v>504</v>
      </c>
      <c r="I478" t="s">
        <v>30</v>
      </c>
      <c r="J478">
        <v>0.007636254</v>
      </c>
      <c r="K478">
        <v>4500</v>
      </c>
      <c r="L478">
        <v>9045606.33</v>
      </c>
      <c r="M478">
        <v>67850.48</v>
      </c>
      <c r="N478">
        <v>1794</v>
      </c>
      <c r="O478">
        <v>8073000</v>
      </c>
      <c r="P478">
        <v>61647.48</v>
      </c>
      <c r="Q478">
        <v>95625</v>
      </c>
      <c r="R478">
        <v>730.22</v>
      </c>
      <c r="S478">
        <v>0.034</v>
      </c>
      <c r="T478" t="s">
        <v>31</v>
      </c>
    </row>
    <row r="479" spans="1:20" ht="15">
      <c r="A479" t="s">
        <v>19</v>
      </c>
      <c r="B479" t="s">
        <v>20</v>
      </c>
      <c r="C479" t="str">
        <f t="shared" si="7"/>
        <v>31-Dec-21</v>
      </c>
      <c r="D479" t="s">
        <v>21</v>
      </c>
      <c r="E479" t="s">
        <v>28</v>
      </c>
      <c r="F479" t="str">
        <f>"6900557"</f>
        <v>6900557</v>
      </c>
      <c r="G479" t="s">
        <v>505</v>
      </c>
      <c r="I479" t="s">
        <v>30</v>
      </c>
      <c r="J479">
        <v>0.007636254</v>
      </c>
      <c r="K479">
        <v>4300</v>
      </c>
      <c r="L479">
        <v>10240330.3</v>
      </c>
      <c r="M479">
        <v>79238.64</v>
      </c>
      <c r="N479">
        <v>2502</v>
      </c>
      <c r="O479">
        <v>10758600</v>
      </c>
      <c r="P479">
        <v>82155.4</v>
      </c>
      <c r="Q479">
        <v>0</v>
      </c>
      <c r="R479">
        <v>0</v>
      </c>
      <c r="S479">
        <v>0.045</v>
      </c>
      <c r="T479" t="s">
        <v>31</v>
      </c>
    </row>
    <row r="480" spans="1:20" ht="15">
      <c r="A480" t="s">
        <v>19</v>
      </c>
      <c r="B480" t="s">
        <v>20</v>
      </c>
      <c r="C480" t="str">
        <f t="shared" si="7"/>
        <v>31-Dec-21</v>
      </c>
      <c r="D480" t="s">
        <v>21</v>
      </c>
      <c r="E480" t="s">
        <v>28</v>
      </c>
      <c r="F480" t="str">
        <f>"6900591"</f>
        <v>6900591</v>
      </c>
      <c r="G480" t="s">
        <v>506</v>
      </c>
      <c r="I480" t="s">
        <v>30</v>
      </c>
      <c r="J480">
        <v>0.007636254</v>
      </c>
      <c r="K480">
        <v>2300</v>
      </c>
      <c r="L480">
        <v>4380863.55</v>
      </c>
      <c r="M480">
        <v>33089.76</v>
      </c>
      <c r="N480">
        <v>2256</v>
      </c>
      <c r="O480">
        <v>5188800</v>
      </c>
      <c r="P480">
        <v>39622.99</v>
      </c>
      <c r="Q480">
        <v>0</v>
      </c>
      <c r="R480">
        <v>0</v>
      </c>
      <c r="S480">
        <v>0.022</v>
      </c>
      <c r="T480" t="s">
        <v>31</v>
      </c>
    </row>
    <row r="481" spans="1:20" ht="15">
      <c r="A481" t="s">
        <v>19</v>
      </c>
      <c r="B481" t="s">
        <v>20</v>
      </c>
      <c r="C481" t="str">
        <f t="shared" si="7"/>
        <v>31-Dec-21</v>
      </c>
      <c r="D481" t="s">
        <v>21</v>
      </c>
      <c r="E481" t="s">
        <v>28</v>
      </c>
      <c r="F481" t="str">
        <f>"6900546"</f>
        <v>6900546</v>
      </c>
      <c r="G481" t="s">
        <v>507</v>
      </c>
      <c r="I481" t="s">
        <v>30</v>
      </c>
      <c r="J481">
        <v>0.007636254</v>
      </c>
      <c r="K481">
        <v>7300</v>
      </c>
      <c r="L481">
        <v>31602896.92</v>
      </c>
      <c r="M481">
        <v>243006.47</v>
      </c>
      <c r="N481">
        <v>9190</v>
      </c>
      <c r="O481">
        <v>67087000</v>
      </c>
      <c r="P481">
        <v>512293.35</v>
      </c>
      <c r="Q481">
        <v>0</v>
      </c>
      <c r="R481">
        <v>0</v>
      </c>
      <c r="S481">
        <v>0.282</v>
      </c>
      <c r="T481" t="s">
        <v>31</v>
      </c>
    </row>
    <row r="482" spans="1:20" ht="15">
      <c r="A482" t="s">
        <v>19</v>
      </c>
      <c r="B482" t="s">
        <v>20</v>
      </c>
      <c r="C482" t="str">
        <f t="shared" si="7"/>
        <v>31-Dec-21</v>
      </c>
      <c r="D482" t="s">
        <v>21</v>
      </c>
      <c r="E482" t="s">
        <v>28</v>
      </c>
      <c r="F482" t="str">
        <f>"6900643"</f>
        <v>6900643</v>
      </c>
      <c r="G482" t="s">
        <v>508</v>
      </c>
      <c r="I482" t="s">
        <v>30</v>
      </c>
      <c r="J482">
        <v>0.007636254</v>
      </c>
      <c r="K482">
        <v>573000</v>
      </c>
      <c r="L482">
        <v>625173887.51</v>
      </c>
      <c r="M482">
        <v>4797591.41</v>
      </c>
      <c r="N482">
        <v>2105.5</v>
      </c>
      <c r="O482">
        <v>1206451500</v>
      </c>
      <c r="P482">
        <v>9212769.75</v>
      </c>
      <c r="Q482">
        <v>0</v>
      </c>
      <c r="R482">
        <v>0</v>
      </c>
      <c r="S482">
        <v>5.079</v>
      </c>
      <c r="T482" t="s">
        <v>31</v>
      </c>
    </row>
    <row r="483" spans="1:20" ht="15">
      <c r="A483" t="s">
        <v>19</v>
      </c>
      <c r="B483" t="s">
        <v>20</v>
      </c>
      <c r="C483" t="str">
        <f t="shared" si="7"/>
        <v>31-Dec-21</v>
      </c>
      <c r="D483" t="s">
        <v>21</v>
      </c>
      <c r="E483" t="s">
        <v>28</v>
      </c>
      <c r="F483" t="str">
        <f>"6900580"</f>
        <v>6900580</v>
      </c>
      <c r="G483" t="s">
        <v>509</v>
      </c>
      <c r="I483" t="s">
        <v>30</v>
      </c>
      <c r="J483">
        <v>0.007636254</v>
      </c>
      <c r="K483">
        <v>10225</v>
      </c>
      <c r="L483">
        <v>26934655.31</v>
      </c>
      <c r="M483">
        <v>208019.66</v>
      </c>
      <c r="N483">
        <v>5300</v>
      </c>
      <c r="O483">
        <v>54192500</v>
      </c>
      <c r="P483">
        <v>413827.68</v>
      </c>
      <c r="Q483">
        <v>0</v>
      </c>
      <c r="R483">
        <v>0</v>
      </c>
      <c r="S483">
        <v>0.228</v>
      </c>
      <c r="T483" t="s">
        <v>31</v>
      </c>
    </row>
    <row r="484" spans="1:20" ht="15">
      <c r="A484" t="s">
        <v>19</v>
      </c>
      <c r="B484" t="s">
        <v>20</v>
      </c>
      <c r="C484" t="str">
        <f t="shared" si="7"/>
        <v>31-Dec-21</v>
      </c>
      <c r="D484" t="s">
        <v>21</v>
      </c>
      <c r="E484" t="s">
        <v>28</v>
      </c>
      <c r="F484" t="str">
        <f>"6125286"</f>
        <v>6125286</v>
      </c>
      <c r="G484" t="s">
        <v>510</v>
      </c>
      <c r="I484" t="s">
        <v>30</v>
      </c>
      <c r="J484">
        <v>0.007636254</v>
      </c>
      <c r="K484">
        <v>5100</v>
      </c>
      <c r="L484">
        <v>21347312.7</v>
      </c>
      <c r="M484">
        <v>166594.5</v>
      </c>
      <c r="N484">
        <v>6390</v>
      </c>
      <c r="O484">
        <v>32589000</v>
      </c>
      <c r="P484">
        <v>248857.87</v>
      </c>
      <c r="Q484">
        <v>0</v>
      </c>
      <c r="R484">
        <v>0</v>
      </c>
      <c r="S484">
        <v>0.137</v>
      </c>
      <c r="T484" t="s">
        <v>31</v>
      </c>
    </row>
    <row r="485" spans="1:20" ht="15">
      <c r="A485" t="s">
        <v>19</v>
      </c>
      <c r="B485" t="s">
        <v>20</v>
      </c>
      <c r="C485" t="str">
        <f t="shared" si="7"/>
        <v>31-Dec-21</v>
      </c>
      <c r="D485" t="s">
        <v>21</v>
      </c>
      <c r="E485" t="s">
        <v>28</v>
      </c>
      <c r="F485" t="str">
        <f>"6906919"</f>
        <v>6906919</v>
      </c>
      <c r="G485" t="s">
        <v>511</v>
      </c>
      <c r="I485" t="s">
        <v>30</v>
      </c>
      <c r="J485">
        <v>0.007636254</v>
      </c>
      <c r="K485">
        <v>3100</v>
      </c>
      <c r="L485">
        <v>10079669.15</v>
      </c>
      <c r="M485">
        <v>80754.85</v>
      </c>
      <c r="N485">
        <v>3275</v>
      </c>
      <c r="O485">
        <v>10152500</v>
      </c>
      <c r="P485">
        <v>77527.07</v>
      </c>
      <c r="Q485">
        <v>0</v>
      </c>
      <c r="R485">
        <v>0</v>
      </c>
      <c r="S485">
        <v>0.043</v>
      </c>
      <c r="T485" t="s">
        <v>31</v>
      </c>
    </row>
    <row r="486" spans="1:20" ht="15">
      <c r="A486" t="s">
        <v>19</v>
      </c>
      <c r="B486" t="s">
        <v>20</v>
      </c>
      <c r="C486" t="str">
        <f t="shared" si="7"/>
        <v>31-Dec-21</v>
      </c>
      <c r="D486" t="s">
        <v>21</v>
      </c>
      <c r="E486" t="s">
        <v>28</v>
      </c>
      <c r="F486" t="str">
        <f>"B0MKZN5"</f>
        <v>B0MKZN5</v>
      </c>
      <c r="G486" t="s">
        <v>512</v>
      </c>
      <c r="I486" t="s">
        <v>30</v>
      </c>
      <c r="J486">
        <v>0.007636254</v>
      </c>
      <c r="K486">
        <v>1800</v>
      </c>
      <c r="L486">
        <v>11443961.98</v>
      </c>
      <c r="M486">
        <v>88547.03</v>
      </c>
      <c r="N486">
        <v>11040</v>
      </c>
      <c r="O486">
        <v>19872000</v>
      </c>
      <c r="P486">
        <v>151747.63</v>
      </c>
      <c r="Q486">
        <v>127755</v>
      </c>
      <c r="R486">
        <v>975.57</v>
      </c>
      <c r="S486">
        <v>0.084</v>
      </c>
      <c r="T486" t="s">
        <v>31</v>
      </c>
    </row>
    <row r="487" spans="1:20" ht="15">
      <c r="A487" t="s">
        <v>19</v>
      </c>
      <c r="B487" t="s">
        <v>20</v>
      </c>
      <c r="C487" t="str">
        <f t="shared" si="7"/>
        <v>31-Dec-21</v>
      </c>
      <c r="D487" t="s">
        <v>21</v>
      </c>
      <c r="E487" t="s">
        <v>28</v>
      </c>
      <c r="F487" t="str">
        <f>"6171494"</f>
        <v>6171494</v>
      </c>
      <c r="G487" t="s">
        <v>513</v>
      </c>
      <c r="I487" t="s">
        <v>30</v>
      </c>
      <c r="J487">
        <v>0.007636254</v>
      </c>
      <c r="K487">
        <v>8560</v>
      </c>
      <c r="L487">
        <v>11486290.42</v>
      </c>
      <c r="M487">
        <v>90207.56</v>
      </c>
      <c r="N487">
        <v>1796</v>
      </c>
      <c r="O487">
        <v>15373760</v>
      </c>
      <c r="P487">
        <v>117397.93</v>
      </c>
      <c r="Q487">
        <v>0</v>
      </c>
      <c r="R487">
        <v>0</v>
      </c>
      <c r="S487">
        <v>0.065</v>
      </c>
      <c r="T487" t="s">
        <v>31</v>
      </c>
    </row>
    <row r="488" spans="1:20" ht="15">
      <c r="A488" t="s">
        <v>19</v>
      </c>
      <c r="B488" t="s">
        <v>20</v>
      </c>
      <c r="C488" t="str">
        <f t="shared" si="7"/>
        <v>31-Dec-21</v>
      </c>
      <c r="D488" t="s">
        <v>21</v>
      </c>
      <c r="E488" t="s">
        <v>28</v>
      </c>
      <c r="F488" t="str">
        <f>"6910705"</f>
        <v>6910705</v>
      </c>
      <c r="G488" t="s">
        <v>514</v>
      </c>
      <c r="I488" t="s">
        <v>30</v>
      </c>
      <c r="J488">
        <v>0.007636254</v>
      </c>
      <c r="K488">
        <v>4900</v>
      </c>
      <c r="L488">
        <v>12172734.56</v>
      </c>
      <c r="M488">
        <v>95558.67</v>
      </c>
      <c r="N488">
        <v>1998</v>
      </c>
      <c r="O488">
        <v>9790200</v>
      </c>
      <c r="P488">
        <v>74760.45</v>
      </c>
      <c r="Q488">
        <v>0</v>
      </c>
      <c r="R488">
        <v>0</v>
      </c>
      <c r="S488">
        <v>0.041</v>
      </c>
      <c r="T488" t="s">
        <v>31</v>
      </c>
    </row>
    <row r="489" spans="1:20" ht="15">
      <c r="A489" t="s">
        <v>19</v>
      </c>
      <c r="B489" t="s">
        <v>20</v>
      </c>
      <c r="C489" t="str">
        <f t="shared" si="7"/>
        <v>31-Dec-21</v>
      </c>
      <c r="D489" t="s">
        <v>21</v>
      </c>
      <c r="E489" t="s">
        <v>28</v>
      </c>
      <c r="F489" t="str">
        <f>"6599483"</f>
        <v>6599483</v>
      </c>
      <c r="G489" t="s">
        <v>515</v>
      </c>
      <c r="I489" t="s">
        <v>30</v>
      </c>
      <c r="J489">
        <v>0.007636254</v>
      </c>
      <c r="K489">
        <v>2400</v>
      </c>
      <c r="L489">
        <v>15243048</v>
      </c>
      <c r="M489">
        <v>114739.92</v>
      </c>
      <c r="N489">
        <v>7200</v>
      </c>
      <c r="O489">
        <v>17280000</v>
      </c>
      <c r="P489">
        <v>131954.46</v>
      </c>
      <c r="Q489">
        <v>0</v>
      </c>
      <c r="R489">
        <v>0</v>
      </c>
      <c r="S489">
        <v>0.073</v>
      </c>
      <c r="T489" t="s">
        <v>31</v>
      </c>
    </row>
    <row r="490" spans="1:20" ht="15">
      <c r="A490" t="s">
        <v>19</v>
      </c>
      <c r="B490" t="s">
        <v>20</v>
      </c>
      <c r="C490" t="str">
        <f t="shared" si="7"/>
        <v>31-Dec-21</v>
      </c>
      <c r="D490" t="s">
        <v>21</v>
      </c>
      <c r="E490" t="s">
        <v>28</v>
      </c>
      <c r="F490" t="str">
        <f>"6911485"</f>
        <v>6911485</v>
      </c>
      <c r="G490" t="s">
        <v>516</v>
      </c>
      <c r="I490" t="s">
        <v>30</v>
      </c>
      <c r="J490">
        <v>0.007636254</v>
      </c>
      <c r="K490">
        <v>17700</v>
      </c>
      <c r="L490">
        <v>32526424.88</v>
      </c>
      <c r="M490">
        <v>263469.59</v>
      </c>
      <c r="N490">
        <v>4999</v>
      </c>
      <c r="O490">
        <v>88482300</v>
      </c>
      <c r="P490">
        <v>675673.29</v>
      </c>
      <c r="Q490">
        <v>270810</v>
      </c>
      <c r="R490">
        <v>2067.97</v>
      </c>
      <c r="S490">
        <v>0.374</v>
      </c>
      <c r="T490" t="s">
        <v>31</v>
      </c>
    </row>
    <row r="491" spans="1:20" ht="15">
      <c r="A491" t="s">
        <v>19</v>
      </c>
      <c r="B491" t="s">
        <v>20</v>
      </c>
      <c r="C491" t="str">
        <f t="shared" si="7"/>
        <v>31-Dec-21</v>
      </c>
      <c r="D491" t="s">
        <v>21</v>
      </c>
      <c r="E491" t="s">
        <v>28</v>
      </c>
      <c r="F491" t="str">
        <f>"6918981"</f>
        <v>6918981</v>
      </c>
      <c r="G491" t="s">
        <v>517</v>
      </c>
      <c r="I491" t="s">
        <v>30</v>
      </c>
      <c r="J491">
        <v>0.007636254</v>
      </c>
      <c r="K491">
        <v>5500</v>
      </c>
      <c r="L491">
        <v>8794668.07</v>
      </c>
      <c r="M491">
        <v>65498.17</v>
      </c>
      <c r="N491">
        <v>1910</v>
      </c>
      <c r="O491">
        <v>10505000</v>
      </c>
      <c r="P491">
        <v>80218.85</v>
      </c>
      <c r="Q491">
        <v>0</v>
      </c>
      <c r="R491">
        <v>0</v>
      </c>
      <c r="S491">
        <v>0.044</v>
      </c>
      <c r="T491" t="s">
        <v>31</v>
      </c>
    </row>
    <row r="492" spans="1:20" ht="15">
      <c r="A492" t="s">
        <v>19</v>
      </c>
      <c r="B492" t="s">
        <v>20</v>
      </c>
      <c r="C492" t="str">
        <f t="shared" si="7"/>
        <v>31-Dec-21</v>
      </c>
      <c r="D492" t="s">
        <v>21</v>
      </c>
      <c r="E492" t="s">
        <v>28</v>
      </c>
      <c r="F492" t="str">
        <f>"6723839"</f>
        <v>6723839</v>
      </c>
      <c r="G492" t="s">
        <v>518</v>
      </c>
      <c r="I492" t="s">
        <v>30</v>
      </c>
      <c r="J492">
        <v>0.007636254</v>
      </c>
      <c r="K492">
        <v>142</v>
      </c>
      <c r="L492">
        <v>18993227.57</v>
      </c>
      <c r="M492">
        <v>148654.32</v>
      </c>
      <c r="N492">
        <v>135200</v>
      </c>
      <c r="O492">
        <v>19198400</v>
      </c>
      <c r="P492">
        <v>146603.85</v>
      </c>
      <c r="Q492">
        <v>374170</v>
      </c>
      <c r="R492">
        <v>2857.26</v>
      </c>
      <c r="S492">
        <v>0.082</v>
      </c>
      <c r="T492" t="s">
        <v>31</v>
      </c>
    </row>
    <row r="493" spans="1:20" ht="15">
      <c r="A493" t="s">
        <v>19</v>
      </c>
      <c r="B493" t="s">
        <v>20</v>
      </c>
      <c r="C493" t="str">
        <f t="shared" si="7"/>
        <v>31-Dec-21</v>
      </c>
      <c r="D493" t="s">
        <v>21</v>
      </c>
      <c r="E493" t="s">
        <v>28</v>
      </c>
      <c r="F493" t="str">
        <f>"B3CF1G6"</f>
        <v>B3CF1G6</v>
      </c>
      <c r="G493" t="s">
        <v>519</v>
      </c>
      <c r="I493" t="s">
        <v>30</v>
      </c>
      <c r="J493">
        <v>0.007636254</v>
      </c>
      <c r="K493">
        <v>4600</v>
      </c>
      <c r="L493">
        <v>7218849.62</v>
      </c>
      <c r="M493">
        <v>56420.43</v>
      </c>
      <c r="N493">
        <v>3590</v>
      </c>
      <c r="O493">
        <v>16514000</v>
      </c>
      <c r="P493">
        <v>126105.09</v>
      </c>
      <c r="Q493">
        <v>0</v>
      </c>
      <c r="R493">
        <v>0</v>
      </c>
      <c r="S493">
        <v>0.07</v>
      </c>
      <c r="T493" t="s">
        <v>31</v>
      </c>
    </row>
    <row r="494" spans="1:20" ht="15">
      <c r="A494" t="s">
        <v>19</v>
      </c>
      <c r="B494" t="s">
        <v>20</v>
      </c>
      <c r="C494" t="str">
        <f t="shared" si="7"/>
        <v>31-Dec-21</v>
      </c>
      <c r="D494" t="s">
        <v>21</v>
      </c>
      <c r="E494" t="s">
        <v>28</v>
      </c>
      <c r="F494" t="str">
        <f>"6957995"</f>
        <v>6957995</v>
      </c>
      <c r="G494" t="s">
        <v>520</v>
      </c>
      <c r="I494" t="s">
        <v>30</v>
      </c>
      <c r="J494">
        <v>0.007636254</v>
      </c>
      <c r="K494">
        <v>10700</v>
      </c>
      <c r="L494">
        <v>55145471.88</v>
      </c>
      <c r="M494">
        <v>435497.74</v>
      </c>
      <c r="N494">
        <v>4810</v>
      </c>
      <c r="O494">
        <v>51467000</v>
      </c>
      <c r="P494">
        <v>393015.07</v>
      </c>
      <c r="Q494">
        <v>0</v>
      </c>
      <c r="R494">
        <v>0</v>
      </c>
      <c r="S494">
        <v>0.217</v>
      </c>
      <c r="T494" t="s">
        <v>31</v>
      </c>
    </row>
    <row r="495" spans="1:20" ht="15">
      <c r="A495" t="s">
        <v>19</v>
      </c>
      <c r="B495" t="s">
        <v>20</v>
      </c>
      <c r="C495" t="str">
        <f t="shared" si="7"/>
        <v>31-Dec-21</v>
      </c>
      <c r="D495" t="s">
        <v>21</v>
      </c>
      <c r="E495" t="s">
        <v>28</v>
      </c>
      <c r="F495" t="str">
        <f>"6985112"</f>
        <v>6985112</v>
      </c>
      <c r="G495" t="s">
        <v>521</v>
      </c>
      <c r="I495" t="s">
        <v>30</v>
      </c>
      <c r="J495">
        <v>0.007636254</v>
      </c>
      <c r="K495">
        <v>6400</v>
      </c>
      <c r="L495">
        <v>30602061.87</v>
      </c>
      <c r="M495">
        <v>242777.36</v>
      </c>
      <c r="N495">
        <v>6000</v>
      </c>
      <c r="O495">
        <v>38400000</v>
      </c>
      <c r="P495">
        <v>293232.14</v>
      </c>
      <c r="Q495">
        <v>0</v>
      </c>
      <c r="R495">
        <v>0</v>
      </c>
      <c r="S495">
        <v>0.162</v>
      </c>
      <c r="T495" t="s">
        <v>31</v>
      </c>
    </row>
    <row r="496" spans="1:20" ht="15">
      <c r="A496" t="s">
        <v>19</v>
      </c>
      <c r="B496" t="s">
        <v>20</v>
      </c>
      <c r="C496" t="str">
        <f t="shared" si="7"/>
        <v>31-Dec-21</v>
      </c>
      <c r="D496" t="s">
        <v>21</v>
      </c>
      <c r="E496" t="s">
        <v>28</v>
      </c>
      <c r="F496" t="str">
        <f>"6985026"</f>
        <v>6985026</v>
      </c>
      <c r="G496" t="s">
        <v>522</v>
      </c>
      <c r="I496" t="s">
        <v>30</v>
      </c>
      <c r="J496">
        <v>0.007636254</v>
      </c>
      <c r="K496">
        <v>33000</v>
      </c>
      <c r="L496">
        <v>23595741</v>
      </c>
      <c r="M496">
        <v>179019.4</v>
      </c>
      <c r="N496">
        <v>393</v>
      </c>
      <c r="O496">
        <v>12969000</v>
      </c>
      <c r="P496">
        <v>99034.57</v>
      </c>
      <c r="Q496">
        <v>0</v>
      </c>
      <c r="R496">
        <v>0</v>
      </c>
      <c r="S496">
        <v>0.055</v>
      </c>
      <c r="T496" t="s">
        <v>31</v>
      </c>
    </row>
    <row r="497" spans="1:20" ht="15">
      <c r="A497" t="s">
        <v>19</v>
      </c>
      <c r="B497" t="s">
        <v>20</v>
      </c>
      <c r="C497" t="str">
        <f t="shared" si="7"/>
        <v>31-Dec-21</v>
      </c>
      <c r="D497" t="s">
        <v>21</v>
      </c>
      <c r="E497" t="s">
        <v>28</v>
      </c>
      <c r="F497" t="str">
        <f>"B1DGKS9"</f>
        <v>B1DGKS9</v>
      </c>
      <c r="G497" t="s">
        <v>523</v>
      </c>
      <c r="I497" t="s">
        <v>30</v>
      </c>
      <c r="J497">
        <v>0.007636254</v>
      </c>
      <c r="K497">
        <v>4200</v>
      </c>
      <c r="L497">
        <v>4647082.4</v>
      </c>
      <c r="M497">
        <v>35987.78</v>
      </c>
      <c r="N497">
        <v>673</v>
      </c>
      <c r="O497">
        <v>2826600</v>
      </c>
      <c r="P497">
        <v>21584.63</v>
      </c>
      <c r="Q497">
        <v>0</v>
      </c>
      <c r="R497">
        <v>0</v>
      </c>
      <c r="S497">
        <v>0.012</v>
      </c>
      <c r="T497" t="s">
        <v>31</v>
      </c>
    </row>
    <row r="498" spans="1:20" ht="15">
      <c r="A498" t="s">
        <v>19</v>
      </c>
      <c r="B498" t="s">
        <v>20</v>
      </c>
      <c r="C498" t="str">
        <f t="shared" si="7"/>
        <v>31-Dec-21</v>
      </c>
      <c r="D498" t="s">
        <v>21</v>
      </c>
      <c r="E498" t="s">
        <v>28</v>
      </c>
      <c r="F498" t="str">
        <f>"6642387"</f>
        <v>6642387</v>
      </c>
      <c r="G498" t="s">
        <v>524</v>
      </c>
      <c r="I498" t="s">
        <v>30</v>
      </c>
      <c r="J498">
        <v>0.007636254</v>
      </c>
      <c r="K498">
        <v>7200</v>
      </c>
      <c r="L498">
        <v>14345755.13</v>
      </c>
      <c r="M498">
        <v>109563.99</v>
      </c>
      <c r="N498">
        <v>5670</v>
      </c>
      <c r="O498">
        <v>40824000</v>
      </c>
      <c r="P498">
        <v>311742.42</v>
      </c>
      <c r="Q498">
        <v>0</v>
      </c>
      <c r="R498">
        <v>0</v>
      </c>
      <c r="S498">
        <v>0.172</v>
      </c>
      <c r="T498" t="s">
        <v>31</v>
      </c>
    </row>
    <row r="499" spans="1:20" ht="15">
      <c r="A499" t="s">
        <v>19</v>
      </c>
      <c r="B499" t="s">
        <v>20</v>
      </c>
      <c r="C499" t="str">
        <f t="shared" si="7"/>
        <v>31-Dec-21</v>
      </c>
      <c r="D499" t="s">
        <v>21</v>
      </c>
      <c r="E499" t="s">
        <v>28</v>
      </c>
      <c r="F499" t="str">
        <f>"6985264"</f>
        <v>6985264</v>
      </c>
      <c r="G499" t="s">
        <v>525</v>
      </c>
      <c r="I499" t="s">
        <v>30</v>
      </c>
      <c r="J499">
        <v>0.007636254</v>
      </c>
      <c r="K499">
        <v>14400</v>
      </c>
      <c r="L499">
        <v>28228406.7</v>
      </c>
      <c r="M499">
        <v>218690.98</v>
      </c>
      <c r="N499">
        <v>2759</v>
      </c>
      <c r="O499">
        <v>39729600</v>
      </c>
      <c r="P499">
        <v>303385.31</v>
      </c>
      <c r="Q499">
        <v>612000</v>
      </c>
      <c r="R499">
        <v>4673.38</v>
      </c>
      <c r="S499">
        <v>0.17</v>
      </c>
      <c r="T499" t="s">
        <v>31</v>
      </c>
    </row>
    <row r="500" spans="1:20" ht="15">
      <c r="A500" t="s">
        <v>19</v>
      </c>
      <c r="B500" t="s">
        <v>20</v>
      </c>
      <c r="C500" t="str">
        <f t="shared" si="7"/>
        <v>31-Dec-21</v>
      </c>
      <c r="D500" t="s">
        <v>21</v>
      </c>
      <c r="E500" t="s">
        <v>28</v>
      </c>
      <c r="F500" t="str">
        <f>"6985565"</f>
        <v>6985565</v>
      </c>
      <c r="G500" t="s">
        <v>526</v>
      </c>
      <c r="I500" t="s">
        <v>30</v>
      </c>
      <c r="J500">
        <v>0.007636254</v>
      </c>
      <c r="K500">
        <v>14700</v>
      </c>
      <c r="L500">
        <v>25973810.67</v>
      </c>
      <c r="M500">
        <v>207130.32</v>
      </c>
      <c r="N500">
        <v>2703</v>
      </c>
      <c r="O500">
        <v>39734100</v>
      </c>
      <c r="P500">
        <v>303419.67</v>
      </c>
      <c r="Q500">
        <v>0</v>
      </c>
      <c r="R500">
        <v>0</v>
      </c>
      <c r="S500">
        <v>0.167</v>
      </c>
      <c r="T500" t="s">
        <v>31</v>
      </c>
    </row>
    <row r="501" spans="1:20" ht="15">
      <c r="A501" t="s">
        <v>19</v>
      </c>
      <c r="B501" t="s">
        <v>20</v>
      </c>
      <c r="C501" t="str">
        <f t="shared" si="7"/>
        <v>31-Dec-21</v>
      </c>
      <c r="D501" t="s">
        <v>21</v>
      </c>
      <c r="E501" t="s">
        <v>28</v>
      </c>
      <c r="F501" t="str">
        <f>"6985446"</f>
        <v>6985446</v>
      </c>
      <c r="G501" t="s">
        <v>527</v>
      </c>
      <c r="I501" t="s">
        <v>30</v>
      </c>
      <c r="J501">
        <v>0.007636254</v>
      </c>
      <c r="K501">
        <v>1300</v>
      </c>
      <c r="L501">
        <v>4145624.04</v>
      </c>
      <c r="M501">
        <v>31160.42</v>
      </c>
      <c r="N501">
        <v>3725</v>
      </c>
      <c r="O501">
        <v>4842500</v>
      </c>
      <c r="P501">
        <v>36978.56</v>
      </c>
      <c r="Q501">
        <v>0</v>
      </c>
      <c r="R501">
        <v>0</v>
      </c>
      <c r="S501">
        <v>0.02</v>
      </c>
      <c r="T501" t="s">
        <v>31</v>
      </c>
    </row>
    <row r="502" spans="1:20" ht="15">
      <c r="A502" t="s">
        <v>19</v>
      </c>
      <c r="B502" t="s">
        <v>20</v>
      </c>
      <c r="C502" t="str">
        <f t="shared" si="7"/>
        <v>31-Dec-21</v>
      </c>
      <c r="D502" t="s">
        <v>21</v>
      </c>
      <c r="E502" t="s">
        <v>28</v>
      </c>
      <c r="F502" t="str">
        <f>"6985509"</f>
        <v>6985509</v>
      </c>
      <c r="G502" t="s">
        <v>528</v>
      </c>
      <c r="I502" t="s">
        <v>30</v>
      </c>
      <c r="J502">
        <v>0.007636254</v>
      </c>
      <c r="K502">
        <v>6100</v>
      </c>
      <c r="L502">
        <v>8256614.97</v>
      </c>
      <c r="M502">
        <v>64853.08</v>
      </c>
      <c r="N502">
        <v>1528</v>
      </c>
      <c r="O502">
        <v>9320800</v>
      </c>
      <c r="P502">
        <v>71175.99</v>
      </c>
      <c r="Q502">
        <v>114070</v>
      </c>
      <c r="R502">
        <v>871.07</v>
      </c>
      <c r="S502">
        <v>0.04</v>
      </c>
      <c r="T502" t="s">
        <v>31</v>
      </c>
    </row>
    <row r="503" spans="1:20" ht="15">
      <c r="A503" t="s">
        <v>19</v>
      </c>
      <c r="B503" t="s">
        <v>20</v>
      </c>
      <c r="C503" t="str">
        <f t="shared" si="7"/>
        <v>31-Dec-21</v>
      </c>
      <c r="D503" t="s">
        <v>21</v>
      </c>
      <c r="E503" t="s">
        <v>28</v>
      </c>
      <c r="F503" t="str">
        <f>"6985899"</f>
        <v>6985899</v>
      </c>
      <c r="G503" t="s">
        <v>529</v>
      </c>
      <c r="I503" t="s">
        <v>30</v>
      </c>
      <c r="J503">
        <v>0.007636254</v>
      </c>
      <c r="K503">
        <v>900</v>
      </c>
      <c r="L503">
        <v>6160449.11</v>
      </c>
      <c r="M503">
        <v>46547.78</v>
      </c>
      <c r="N503">
        <v>6990</v>
      </c>
      <c r="O503">
        <v>6291000</v>
      </c>
      <c r="P503">
        <v>48039.67</v>
      </c>
      <c r="Q503">
        <v>0</v>
      </c>
      <c r="R503">
        <v>0</v>
      </c>
      <c r="S503">
        <v>0.026</v>
      </c>
      <c r="T503" t="s">
        <v>31</v>
      </c>
    </row>
    <row r="504" spans="1:20" ht="15">
      <c r="A504" t="s">
        <v>19</v>
      </c>
      <c r="B504" t="s">
        <v>20</v>
      </c>
      <c r="C504" t="str">
        <f t="shared" si="7"/>
        <v>31-Dec-21</v>
      </c>
      <c r="D504" t="s">
        <v>21</v>
      </c>
      <c r="E504" t="s">
        <v>28</v>
      </c>
      <c r="F504" t="str">
        <f>"6986041"</f>
        <v>6986041</v>
      </c>
      <c r="G504" t="s">
        <v>530</v>
      </c>
      <c r="I504" t="s">
        <v>30</v>
      </c>
      <c r="J504">
        <v>0.007636254</v>
      </c>
      <c r="K504">
        <v>11900</v>
      </c>
      <c r="L504">
        <v>25101331.1</v>
      </c>
      <c r="M504">
        <v>192604.14</v>
      </c>
      <c r="N504">
        <v>5640</v>
      </c>
      <c r="O504">
        <v>67116000</v>
      </c>
      <c r="P504">
        <v>512514.8</v>
      </c>
      <c r="Q504">
        <v>0</v>
      </c>
      <c r="R504">
        <v>0</v>
      </c>
      <c r="S504">
        <v>0.283</v>
      </c>
      <c r="T504" t="s">
        <v>31</v>
      </c>
    </row>
    <row r="505" spans="1:20" ht="15">
      <c r="A505" t="s">
        <v>19</v>
      </c>
      <c r="B505" t="s">
        <v>20</v>
      </c>
      <c r="C505" t="str">
        <f t="shared" si="7"/>
        <v>31-Dec-21</v>
      </c>
      <c r="D505" t="s">
        <v>21</v>
      </c>
      <c r="E505" t="s">
        <v>28</v>
      </c>
      <c r="F505" t="str">
        <f>"6986427"</f>
        <v>6986427</v>
      </c>
      <c r="G505" t="s">
        <v>531</v>
      </c>
      <c r="I505" t="s">
        <v>30</v>
      </c>
      <c r="J505">
        <v>0.007636254</v>
      </c>
      <c r="K505">
        <v>11100</v>
      </c>
      <c r="L505">
        <v>13594005.02</v>
      </c>
      <c r="M505">
        <v>106238.39</v>
      </c>
      <c r="N505">
        <v>2074</v>
      </c>
      <c r="O505">
        <v>23021400</v>
      </c>
      <c r="P505">
        <v>175797.25</v>
      </c>
      <c r="Q505">
        <v>0</v>
      </c>
      <c r="R505">
        <v>0</v>
      </c>
      <c r="S505">
        <v>0.097</v>
      </c>
      <c r="T505" t="s">
        <v>31</v>
      </c>
    </row>
    <row r="506" spans="1:20" ht="15">
      <c r="A506" t="s">
        <v>19</v>
      </c>
      <c r="B506" t="s">
        <v>20</v>
      </c>
      <c r="C506" t="str">
        <f t="shared" si="7"/>
        <v>31-Dec-21</v>
      </c>
      <c r="D506" t="s">
        <v>21</v>
      </c>
      <c r="E506" t="s">
        <v>28</v>
      </c>
      <c r="F506" t="str">
        <f>"6986461"</f>
        <v>6986461</v>
      </c>
      <c r="G506" t="s">
        <v>532</v>
      </c>
      <c r="I506" t="s">
        <v>30</v>
      </c>
      <c r="J506">
        <v>0.007636254</v>
      </c>
      <c r="K506">
        <v>5300</v>
      </c>
      <c r="L506">
        <v>9125721.28</v>
      </c>
      <c r="M506">
        <v>71929.58</v>
      </c>
      <c r="N506">
        <v>1843</v>
      </c>
      <c r="O506">
        <v>9767900</v>
      </c>
      <c r="P506">
        <v>74590.16</v>
      </c>
      <c r="Q506">
        <v>148665</v>
      </c>
      <c r="R506">
        <v>1135.24</v>
      </c>
      <c r="S506">
        <v>0.042</v>
      </c>
      <c r="T506" t="s">
        <v>31</v>
      </c>
    </row>
    <row r="507" spans="1:20" ht="15">
      <c r="A507" t="s">
        <v>19</v>
      </c>
      <c r="B507" t="s">
        <v>20</v>
      </c>
      <c r="C507" t="str">
        <f t="shared" si="7"/>
        <v>31-Dec-21</v>
      </c>
      <c r="D507" t="s">
        <v>21</v>
      </c>
      <c r="E507" t="s">
        <v>28</v>
      </c>
      <c r="F507" t="str">
        <f>"6084848"</f>
        <v>6084848</v>
      </c>
      <c r="G507" t="s">
        <v>533</v>
      </c>
      <c r="I507" t="s">
        <v>30</v>
      </c>
      <c r="J507">
        <v>0.007636254</v>
      </c>
      <c r="K507">
        <v>124400</v>
      </c>
      <c r="L507">
        <v>48877644.54</v>
      </c>
      <c r="M507">
        <v>377344.64</v>
      </c>
      <c r="N507">
        <v>667.4</v>
      </c>
      <c r="O507">
        <v>83024560</v>
      </c>
      <c r="P507">
        <v>633996.6</v>
      </c>
      <c r="Q507">
        <v>0</v>
      </c>
      <c r="R507">
        <v>0</v>
      </c>
      <c r="S507">
        <v>0.35</v>
      </c>
      <c r="T507" t="s">
        <v>31</v>
      </c>
    </row>
    <row r="508" spans="1:20" ht="15">
      <c r="A508" t="s">
        <v>19</v>
      </c>
      <c r="B508" t="s">
        <v>20</v>
      </c>
      <c r="C508" t="str">
        <f t="shared" si="7"/>
        <v>31-Dec-21</v>
      </c>
      <c r="D508" t="s">
        <v>21</v>
      </c>
      <c r="E508" t="s">
        <v>28</v>
      </c>
      <c r="F508" t="str">
        <f>"B292RC1"</f>
        <v>B292RC1</v>
      </c>
      <c r="G508" t="s">
        <v>534</v>
      </c>
      <c r="I508" t="s">
        <v>30</v>
      </c>
      <c r="J508">
        <v>0.007636254</v>
      </c>
      <c r="K508">
        <v>5000</v>
      </c>
      <c r="L508">
        <v>8108019.83</v>
      </c>
      <c r="M508">
        <v>63928.59</v>
      </c>
      <c r="N508">
        <v>3590</v>
      </c>
      <c r="O508">
        <v>17950000</v>
      </c>
      <c r="P508">
        <v>137070.75</v>
      </c>
      <c r="Q508">
        <v>0</v>
      </c>
      <c r="R508">
        <v>0</v>
      </c>
      <c r="S508">
        <v>0.076</v>
      </c>
      <c r="T508" t="s">
        <v>31</v>
      </c>
    </row>
    <row r="509" spans="1:20" ht="15">
      <c r="A509" t="s">
        <v>19</v>
      </c>
      <c r="B509" t="s">
        <v>20</v>
      </c>
      <c r="C509" t="str">
        <f t="shared" si="7"/>
        <v>31-Dec-21</v>
      </c>
      <c r="D509" t="s">
        <v>21</v>
      </c>
      <c r="E509" t="s">
        <v>28</v>
      </c>
      <c r="F509" t="str">
        <f>"B92MT10"</f>
        <v>B92MT10</v>
      </c>
      <c r="G509" t="s">
        <v>535</v>
      </c>
      <c r="I509" t="s">
        <v>30</v>
      </c>
      <c r="J509">
        <v>0.007636254</v>
      </c>
      <c r="K509">
        <v>2400</v>
      </c>
      <c r="L509">
        <v>8971001.18</v>
      </c>
      <c r="M509">
        <v>67127.13</v>
      </c>
      <c r="N509">
        <v>5010</v>
      </c>
      <c r="O509">
        <v>12024000</v>
      </c>
      <c r="P509">
        <v>91818.31</v>
      </c>
      <c r="Q509">
        <v>0</v>
      </c>
      <c r="R509">
        <v>0</v>
      </c>
      <c r="S509">
        <v>0.051</v>
      </c>
      <c r="T509" t="s">
        <v>31</v>
      </c>
    </row>
    <row r="510" spans="1:20" ht="15">
      <c r="A510" t="s">
        <v>19</v>
      </c>
      <c r="B510" t="s">
        <v>20</v>
      </c>
      <c r="C510" t="str">
        <f t="shared" si="7"/>
        <v>31-Dec-21</v>
      </c>
      <c r="D510" t="s">
        <v>21</v>
      </c>
      <c r="E510" t="s">
        <v>28</v>
      </c>
      <c r="F510" t="str">
        <f>"6042608"</f>
        <v>6042608</v>
      </c>
      <c r="G510" t="s">
        <v>536</v>
      </c>
      <c r="I510" t="s">
        <v>30</v>
      </c>
      <c r="J510">
        <v>0.007636254</v>
      </c>
      <c r="K510">
        <v>4200</v>
      </c>
      <c r="L510">
        <v>7740324.9</v>
      </c>
      <c r="M510">
        <v>66593.57</v>
      </c>
      <c r="N510">
        <v>2704</v>
      </c>
      <c r="O510">
        <v>11356800</v>
      </c>
      <c r="P510">
        <v>86723.41</v>
      </c>
      <c r="Q510">
        <v>0</v>
      </c>
      <c r="R510">
        <v>0</v>
      </c>
      <c r="S510">
        <v>0.048</v>
      </c>
      <c r="T510" t="s">
        <v>31</v>
      </c>
    </row>
    <row r="511" spans="1:20" ht="15">
      <c r="A511" t="s">
        <v>19</v>
      </c>
      <c r="B511" t="s">
        <v>20</v>
      </c>
      <c r="C511" t="str">
        <f t="shared" si="7"/>
        <v>31-Dec-21</v>
      </c>
      <c r="D511" t="s">
        <v>21</v>
      </c>
      <c r="E511" t="s">
        <v>28</v>
      </c>
      <c r="F511" t="str">
        <f>"6644015"</f>
        <v>6644015</v>
      </c>
      <c r="G511" t="s">
        <v>537</v>
      </c>
      <c r="I511" t="s">
        <v>30</v>
      </c>
      <c r="J511">
        <v>0.007636254</v>
      </c>
      <c r="K511">
        <v>7500</v>
      </c>
      <c r="L511">
        <v>7078861.51</v>
      </c>
      <c r="M511">
        <v>55714.44</v>
      </c>
      <c r="N511">
        <v>1327</v>
      </c>
      <c r="O511">
        <v>9952500</v>
      </c>
      <c r="P511">
        <v>75999.82</v>
      </c>
      <c r="Q511">
        <v>0</v>
      </c>
      <c r="R511">
        <v>0</v>
      </c>
      <c r="S511">
        <v>0.042</v>
      </c>
      <c r="T511" t="s">
        <v>31</v>
      </c>
    </row>
    <row r="512" spans="1:19" ht="15">
      <c r="A512" t="s">
        <v>19</v>
      </c>
      <c r="B512" t="s">
        <v>20</v>
      </c>
      <c r="C512" t="str">
        <f t="shared" si="7"/>
        <v>31-Dec-21</v>
      </c>
      <c r="D512" t="s">
        <v>21</v>
      </c>
      <c r="E512" t="s">
        <v>538</v>
      </c>
      <c r="F512" t="str">
        <f>"JTIH2"</f>
        <v>JTIH2</v>
      </c>
      <c r="G512" t="s">
        <v>539</v>
      </c>
      <c r="I512" t="s">
        <v>30</v>
      </c>
      <c r="J512">
        <v>0.007636254</v>
      </c>
      <c r="K512">
        <v>3</v>
      </c>
      <c r="L512">
        <v>59537163.77</v>
      </c>
      <c r="M512">
        <v>460387.61</v>
      </c>
      <c r="N512">
        <v>1992</v>
      </c>
      <c r="O512">
        <v>59760000</v>
      </c>
      <c r="P512">
        <v>456342.51</v>
      </c>
      <c r="Q512">
        <v>0</v>
      </c>
      <c r="R512">
        <v>0</v>
      </c>
      <c r="S512">
        <v>0</v>
      </c>
    </row>
    <row r="513" spans="1:20" ht="15">
      <c r="A513" t="s">
        <v>19</v>
      </c>
      <c r="B513" t="s">
        <v>20</v>
      </c>
      <c r="C513" t="str">
        <f t="shared" si="7"/>
        <v>31-Dec-21</v>
      </c>
      <c r="D513" t="s">
        <v>21</v>
      </c>
      <c r="E513" t="s">
        <v>22</v>
      </c>
      <c r="I513" t="s">
        <v>30</v>
      </c>
      <c r="J513">
        <v>0.007636254</v>
      </c>
      <c r="K513">
        <v>0</v>
      </c>
      <c r="L513">
        <v>33680079.8</v>
      </c>
      <c r="M513">
        <v>262278.51</v>
      </c>
      <c r="N513">
        <v>0</v>
      </c>
      <c r="O513">
        <v>33680079.8</v>
      </c>
      <c r="P513">
        <v>257189.63</v>
      </c>
      <c r="Q513">
        <v>0</v>
      </c>
      <c r="R513">
        <v>0</v>
      </c>
      <c r="S513">
        <v>0.142</v>
      </c>
      <c r="T513" t="s">
        <v>540</v>
      </c>
    </row>
    <row r="514" spans="1:20" ht="15">
      <c r="A514" t="s">
        <v>19</v>
      </c>
      <c r="B514" t="s">
        <v>20</v>
      </c>
      <c r="C514" t="str">
        <f t="shared" si="7"/>
        <v>31-Dec-21</v>
      </c>
      <c r="D514" t="s">
        <v>21</v>
      </c>
      <c r="E514" t="s">
        <v>22</v>
      </c>
      <c r="I514" t="s">
        <v>541</v>
      </c>
      <c r="J514">
        <v>0.879352796</v>
      </c>
      <c r="K514">
        <v>0</v>
      </c>
      <c r="L514">
        <v>9015.35</v>
      </c>
      <c r="M514">
        <v>7890.7</v>
      </c>
      <c r="N514">
        <v>0</v>
      </c>
      <c r="O514">
        <v>9015.35</v>
      </c>
      <c r="P514">
        <v>7927.67</v>
      </c>
      <c r="Q514">
        <v>0</v>
      </c>
      <c r="R514">
        <v>0</v>
      </c>
      <c r="S514">
        <v>0.004</v>
      </c>
      <c r="T514" t="s">
        <v>542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B, Naga Warshini</cp:lastModifiedBy>
  <dcterms:created xsi:type="dcterms:W3CDTF">2022-01-05T12:15:17Z</dcterms:created>
  <dcterms:modified xsi:type="dcterms:W3CDTF">2022-01-05T12:15:17Z</dcterms:modified>
  <cp:category/>
  <cp:version/>
  <cp:contentType/>
  <cp:contentStatus/>
</cp:coreProperties>
</file>