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activeTab="0"/>
  </bookViews>
  <sheets>
    <sheet name="Monthly Holdings - State Street" sheetId="1" r:id="rId1"/>
  </sheets>
  <definedNames/>
  <calcPr fullCalcOnLoad="1"/>
</workbook>
</file>

<file path=xl/sharedStrings.xml><?xml version="1.0" encoding="utf-8"?>
<sst xmlns="http://schemas.openxmlformats.org/spreadsheetml/2006/main" count="10683" uniqueCount="1572">
  <si>
    <t>Portfolio Abbreviation</t>
  </si>
  <si>
    <t>Portfolio Long Name</t>
  </si>
  <si>
    <t>Date To</t>
  </si>
  <si>
    <t>Base Currency</t>
  </si>
  <si>
    <t>Major Issue Description</t>
  </si>
  <si>
    <t>Security ID</t>
  </si>
  <si>
    <t>Security Description</t>
  </si>
  <si>
    <t>Issue Level Classification</t>
  </si>
  <si>
    <t>Local Currency</t>
  </si>
  <si>
    <t>Fx Rate</t>
  </si>
  <si>
    <t>Quantity Held</t>
  </si>
  <si>
    <t>Book Cost Local</t>
  </si>
  <si>
    <t>Book Cost Base</t>
  </si>
  <si>
    <t>Market Price Local</t>
  </si>
  <si>
    <t>Market Value Local</t>
  </si>
  <si>
    <t>Market Value Base</t>
  </si>
  <si>
    <t>Accrued Income Local</t>
  </si>
  <si>
    <t>Accrued Income Base</t>
  </si>
  <si>
    <t xml:space="preserve">% Holding  </t>
  </si>
  <si>
    <t xml:space="preserve">SSJB           </t>
  </si>
  <si>
    <t>State Street IUT Emerging Market Equity Index Fund</t>
  </si>
  <si>
    <t>EUR</t>
  </si>
  <si>
    <t>Equity</t>
  </si>
  <si>
    <t xml:space="preserve">Abu Dhabi Commercial Bk PJSC Ordinary AED 1.0 </t>
  </si>
  <si>
    <t>AED</t>
  </si>
  <si>
    <t xml:space="preserve">   </t>
  </si>
  <si>
    <t xml:space="preserve">Abu Dhabi Islamic Bk PJSC Ordinary AED 1.0 </t>
  </si>
  <si>
    <t xml:space="preserve">Abu Dhabi National Oil Co for Ordinary AED 0.08 </t>
  </si>
  <si>
    <t xml:space="preserve">Air Arabia PJSC Ordinary AED 1.0 </t>
  </si>
  <si>
    <t xml:space="preserve">Aldar Properties PJSC Ordinary AED 1.0 </t>
  </si>
  <si>
    <t xml:space="preserve">Dana Gas PJSC Ordinary AED 1.0 </t>
  </si>
  <si>
    <t xml:space="preserve">Dubai Financial Market PJSC Ordinary AED 1.0 </t>
  </si>
  <si>
    <t xml:space="preserve">Dubai Investments PJSC Ordinary AED 1.0 </t>
  </si>
  <si>
    <t xml:space="preserve">Dubai Islamic Bk PJSC Ordinary AED 1.0 </t>
  </si>
  <si>
    <t xml:space="preserve">Emaar Development PJSC Ordinary AED 1.0 </t>
  </si>
  <si>
    <t xml:space="preserve">Emaar Properties PJSC Ordinary AED 1.0 </t>
  </si>
  <si>
    <t xml:space="preserve">Emirates NBD Bk PJSC Ordinary AED 1.0 </t>
  </si>
  <si>
    <t xml:space="preserve">Emirates Telecommunications Gr Ordinary AED 1.0 </t>
  </si>
  <si>
    <t xml:space="preserve">First Abu Dhabi Bk PJSC Ordinary AED 1.0 </t>
  </si>
  <si>
    <t>Net Liquidity</t>
  </si>
  <si>
    <t xml:space="preserve">                                                                                        </t>
  </si>
  <si>
    <t xml:space="preserve">Alpargatas SA Preference BRL </t>
  </si>
  <si>
    <t>BRL</t>
  </si>
  <si>
    <t xml:space="preserve">Ambev SA Ordinary BRL </t>
  </si>
  <si>
    <t xml:space="preserve">Americanas SA Ordinary BRL </t>
  </si>
  <si>
    <t xml:space="preserve">Atacadao SA Ordinary BRL </t>
  </si>
  <si>
    <t xml:space="preserve">Azul SA Preference BRL </t>
  </si>
  <si>
    <t xml:space="preserve">B3 SA - Brasil Bolsa Balcao Ordinary BRL </t>
  </si>
  <si>
    <t xml:space="preserve">BB Seguridade Participacoes SA Ordinary BRL </t>
  </si>
  <si>
    <t xml:space="preserve">BR Malls Participacoes SA Ordinary BRL </t>
  </si>
  <si>
    <t xml:space="preserve">BRF SA Ordinary BRL </t>
  </si>
  <si>
    <t xml:space="preserve">Banco BTG Pactual SA Unit BRL </t>
  </si>
  <si>
    <t xml:space="preserve">Banco Bradesco SA Ordinary BRL </t>
  </si>
  <si>
    <t xml:space="preserve">Banco Bradesco SA Preference BRL </t>
  </si>
  <si>
    <t xml:space="preserve">Banco Inter SA Ordinary BRL </t>
  </si>
  <si>
    <t xml:space="preserve">Banco Inter SA Preference BRL </t>
  </si>
  <si>
    <t xml:space="preserve">Banco Santander Brasil SA Unit BRL </t>
  </si>
  <si>
    <t xml:space="preserve">Banco do Brasil SA Ordinary BRL </t>
  </si>
  <si>
    <t xml:space="preserve">Bradespar SA Preference BRL </t>
  </si>
  <si>
    <t xml:space="preserve">Braskem SA Preference BRL </t>
  </si>
  <si>
    <t xml:space="preserve">CCR SA Ordinary BRL </t>
  </si>
  <si>
    <t xml:space="preserve">CPFL Energia SA Ordinary BRL </t>
  </si>
  <si>
    <t xml:space="preserve">Centrais Eletricas Brasileiras Ordinary BRL </t>
  </si>
  <si>
    <t xml:space="preserve">Centrais Eletricas Brasileiras Preference BRL </t>
  </si>
  <si>
    <t xml:space="preserve">Cia Brasileira de Distribuicao Ordinary BRL </t>
  </si>
  <si>
    <t xml:space="preserve">Cia Energetica de Minas Gerais Preference BRL </t>
  </si>
  <si>
    <t xml:space="preserve">Cia Energetica de Sao Paulo Preference BRL </t>
  </si>
  <si>
    <t xml:space="preserve">Cia Paranaense de Energia Ordinary BRL </t>
  </si>
  <si>
    <t xml:space="preserve">Cia Paranaense de Energia Preference BRL </t>
  </si>
  <si>
    <t xml:space="preserve">Cia Siderurgica Nacional SA Ordinary BRL </t>
  </si>
  <si>
    <t xml:space="preserve">Cia de Locacao das Americas Ordinary BRL </t>
  </si>
  <si>
    <t xml:space="preserve">Cia de Saneamento Basico do Es Ordinary BRL </t>
  </si>
  <si>
    <t xml:space="preserve">Cia de Saneamento do Parana Unit BRL </t>
  </si>
  <si>
    <t xml:space="preserve">Cia de Transmissao de Energia Preference BRL </t>
  </si>
  <si>
    <t xml:space="preserve">Cielo SA Ordinary BRL </t>
  </si>
  <si>
    <t xml:space="preserve">Cogna Educacao Ordinary BRL </t>
  </si>
  <si>
    <t xml:space="preserve">Cosan SA Ordinary BRL </t>
  </si>
  <si>
    <t xml:space="preserve">Dexco SA Ordinary BRL </t>
  </si>
  <si>
    <t xml:space="preserve">EDP - Energias do Brasil SA Ordinary BRL </t>
  </si>
  <si>
    <t xml:space="preserve">Embraer SA Ordinary BRL </t>
  </si>
  <si>
    <t xml:space="preserve">Energisa SA Unit BRL </t>
  </si>
  <si>
    <t xml:space="preserve">Eneva SA Ordinary BRL </t>
  </si>
  <si>
    <t xml:space="preserve">Engie Brasil Energia SA Ordinary BRL </t>
  </si>
  <si>
    <t xml:space="preserve">Equatorial Energia SA Ordinary BRL </t>
  </si>
  <si>
    <t xml:space="preserve">Ez Tec Empreendimentos e Parti Ordinary BRL </t>
  </si>
  <si>
    <t xml:space="preserve">Fleury SA Ordinary BRL </t>
  </si>
  <si>
    <t xml:space="preserve">Gerdau SA Preference BRL </t>
  </si>
  <si>
    <t xml:space="preserve">Hapvida Participacoes e Invest Ordinary BRL </t>
  </si>
  <si>
    <t xml:space="preserve">Hypera SA Ordinary BRL </t>
  </si>
  <si>
    <t xml:space="preserve">IRB Brasil Resseguros S/A Ordinary BRL </t>
  </si>
  <si>
    <t xml:space="preserve">Itau Unibanco Holding SA Ordinary BRL </t>
  </si>
  <si>
    <t xml:space="preserve">Itau Unibanco Holding SA Preference BRL </t>
  </si>
  <si>
    <t xml:space="preserve">Itausa SA Preference BRL </t>
  </si>
  <si>
    <t xml:space="preserve">JBS SA Ordinary BRL </t>
  </si>
  <si>
    <t xml:space="preserve">Klabin SA Unit BRL </t>
  </si>
  <si>
    <t xml:space="preserve">Localiza Rent a Car SA Ordinary BRL </t>
  </si>
  <si>
    <t xml:space="preserve">Locaweb Servicos de Internet S Ordinary BRL </t>
  </si>
  <si>
    <t xml:space="preserve">Lojas Americanas SA Ordinary BRL </t>
  </si>
  <si>
    <t xml:space="preserve">Lojas Americanas SA Preference BRL </t>
  </si>
  <si>
    <t xml:space="preserve">Lojas Renner SA Ordinary BRL </t>
  </si>
  <si>
    <t xml:space="preserve">M Dias Branco SA Ordinary BRL </t>
  </si>
  <si>
    <t xml:space="preserve">Magazine Luiza SA Ordinary BRL </t>
  </si>
  <si>
    <t xml:space="preserve">Marfrig Global Foods SA Ordinary BRL </t>
  </si>
  <si>
    <t xml:space="preserve">Metalurgica Gerdau SA Preference BRL </t>
  </si>
  <si>
    <t xml:space="preserve">Multiplan Empreendimentos Imob Ordinary BRL </t>
  </si>
  <si>
    <t xml:space="preserve">Natura &amp; Co Holding SA Ordinary BRL </t>
  </si>
  <si>
    <t xml:space="preserve">Neoenergia SA Ordinary BRL </t>
  </si>
  <si>
    <t xml:space="preserve">Notre Dame Intermedica Partici Ordinary BRL </t>
  </si>
  <si>
    <t xml:space="preserve">Odontoprev SA Ordinary BRL </t>
  </si>
  <si>
    <t xml:space="preserve">Petro Rio SA Ordinary BRL </t>
  </si>
  <si>
    <t xml:space="preserve">Petroleo Brasileiro SA Ordinary BRL </t>
  </si>
  <si>
    <t xml:space="preserve">Petroleo Brasileiro SA Preference BRL </t>
  </si>
  <si>
    <t xml:space="preserve">Porto Seguro SA Ordinary BRL </t>
  </si>
  <si>
    <t xml:space="preserve">Qualicorp Consultoria e Corret Ordinary BRL </t>
  </si>
  <si>
    <t xml:space="preserve">Raia Drogasil SA Ordinary BRL </t>
  </si>
  <si>
    <t xml:space="preserve">Rede D'Or Sao Luiz SA Ordinary BRL </t>
  </si>
  <si>
    <t xml:space="preserve">Rumo SA Ordinary BRL </t>
  </si>
  <si>
    <t xml:space="preserve">Sao Martinho SA Ordinary BRL </t>
  </si>
  <si>
    <t xml:space="preserve">Sendas Distribuidora SA Ordinary BRL </t>
  </si>
  <si>
    <t xml:space="preserve">Sul America SA Unit BRL </t>
  </si>
  <si>
    <t xml:space="preserve">Suzano SA Ordinary BRL </t>
  </si>
  <si>
    <t xml:space="preserve">TIM SA/Brazil Ordinary BRL </t>
  </si>
  <si>
    <t xml:space="preserve">TOTVS SA Ordinary BRL </t>
  </si>
  <si>
    <t xml:space="preserve">Telefonica Brasil SA Ordinary BRL </t>
  </si>
  <si>
    <t xml:space="preserve">Transmissora Alianca de Energi Unit BRL </t>
  </si>
  <si>
    <t xml:space="preserve">Ultrapar Participacoes SA Ordinary BRL </t>
  </si>
  <si>
    <t xml:space="preserve">Usinas Siderurgicas de Minas G Preference BRL </t>
  </si>
  <si>
    <t xml:space="preserve">Vale SA Ordinary BRL </t>
  </si>
  <si>
    <t xml:space="preserve">Via S/A Ordinary BRL </t>
  </si>
  <si>
    <t xml:space="preserve">Vibra Energia SA Ordinary BRL </t>
  </si>
  <si>
    <t xml:space="preserve">WEG SA Ordinary BRL </t>
  </si>
  <si>
    <t xml:space="preserve">YDUQS Participacoes SA Ordinary BRL </t>
  </si>
  <si>
    <t xml:space="preserve">                                                                       </t>
  </si>
  <si>
    <t xml:space="preserve">AES Andes SA Ordinary CLP </t>
  </si>
  <si>
    <t>CLP</t>
  </si>
  <si>
    <t xml:space="preserve">Banco Santander Chile Ordinary CLP </t>
  </si>
  <si>
    <t xml:space="preserve">Banco de Chile Ordinary CLP </t>
  </si>
  <si>
    <t xml:space="preserve">Banco de Credito e Inversiones Ordinary CLP </t>
  </si>
  <si>
    <t xml:space="preserve">CAP SA Ordinary CLP </t>
  </si>
  <si>
    <t xml:space="preserve">Cencosud SA Ordinary CLP </t>
  </si>
  <si>
    <t xml:space="preserve">Cencosud Shopping SA Ordinary CLP </t>
  </si>
  <si>
    <t xml:space="preserve">Cia Sud Americana de Vapores S Ordinary CLP </t>
  </si>
  <si>
    <t xml:space="preserve">Colbun SA Ordinary CLP </t>
  </si>
  <si>
    <t xml:space="preserve">Embotelladora Andina SA Preference CLP </t>
  </si>
  <si>
    <t xml:space="preserve">Empresa Nacional de Telecomuni Ordinary CLP </t>
  </si>
  <si>
    <t xml:space="preserve">Empresas CMPC SA Ordinary CLP </t>
  </si>
  <si>
    <t xml:space="preserve">Empresas COPEC SA Ordinary CLP </t>
  </si>
  <si>
    <t xml:space="preserve">Enel Americas SA Ordinary CLP </t>
  </si>
  <si>
    <t xml:space="preserve">Enel Chile SA Ordinary CLP </t>
  </si>
  <si>
    <t xml:space="preserve">Falabella SA Ordinary CLP </t>
  </si>
  <si>
    <t xml:space="preserve">Itau CorpBanca Chile SA Ordinary CLP </t>
  </si>
  <si>
    <t xml:space="preserve">Parque Arauco SA Ordinary CLP </t>
  </si>
  <si>
    <t xml:space="preserve">Plaza SA Ordinary CLP </t>
  </si>
  <si>
    <t xml:space="preserve">Sociedad Quimica y Minera de C Preference CLP </t>
  </si>
  <si>
    <t xml:space="preserve">                                                                                             </t>
  </si>
  <si>
    <t xml:space="preserve">AECC Aviation Power Co Ltd Ordinary CNY 1.0 </t>
  </si>
  <si>
    <t>CNY</t>
  </si>
  <si>
    <t xml:space="preserve">AVIC Industry-Finance Holdings Ordinary CNY 1.0 </t>
  </si>
  <si>
    <t xml:space="preserve">Addsino Co Ltd Ordinary CNY 1.0 </t>
  </si>
  <si>
    <t xml:space="preserve">Advanced Micro-Fabrication Equ Ordinary CNY 1.0 </t>
  </si>
  <si>
    <t xml:space="preserve">Agricultural Bk of China Ltd Ordinary CNY 1.0 </t>
  </si>
  <si>
    <t xml:space="preserve">Aier Eye Hospital Group Co Ltd Ordinary CNY 1.0 </t>
  </si>
  <si>
    <t xml:space="preserve">Air China Ltd Ordinary CNY 1.0 </t>
  </si>
  <si>
    <t xml:space="preserve">Aluminum Corp of China Ltd Ordinary CNY 1.0 </t>
  </si>
  <si>
    <t xml:space="preserve">Angel Yeast Co Ltd Ordinary CNY 1.0 </t>
  </si>
  <si>
    <t xml:space="preserve">Anhui Conch Cement Co Ltd Ordinary CNY 1.0 </t>
  </si>
  <si>
    <t xml:space="preserve">Anhui Gujing Distillery Co Ltd Ordinary CNY 1.0 </t>
  </si>
  <si>
    <t xml:space="preserve">Asymchem Laboratories Tianjin Ordinary CNY 1.0 </t>
  </si>
  <si>
    <t xml:space="preserve">Autobio Diagnostics Co Ltd Ordinary CNY 1.0 </t>
  </si>
  <si>
    <t xml:space="preserve">Avary Holding Shenzhen Co Ltd Ordinary CNY 1.0 </t>
  </si>
  <si>
    <t xml:space="preserve">BBMG Corp Ordinary CNY 1.0 </t>
  </si>
  <si>
    <t xml:space="preserve">BOE Technology Group Co Ltd Ordinary CNY 1.0 </t>
  </si>
  <si>
    <t xml:space="preserve">BTG Hotels Group Co Ltd Ordinary CNY 1.0 </t>
  </si>
  <si>
    <t xml:space="preserve">BYD Co Ltd Ordinary CNY 1.0 </t>
  </si>
  <si>
    <t xml:space="preserve">Baoshan Iron &amp; Steel Co Ltd Ordinary CNY 1.0 </t>
  </si>
  <si>
    <t xml:space="preserve">Beijing Capital Eco-Environmen Ordinary CNY 1.0 </t>
  </si>
  <si>
    <t xml:space="preserve">Beijing Dabeinong Technology G Ordinary CNY 1.0 </t>
  </si>
  <si>
    <t xml:space="preserve">Beijing E-Hualu Information Te Ordinary CNY 1.0 </t>
  </si>
  <si>
    <t xml:space="preserve">Beijing Enlight Media Co Ltd Ordinary CNY 1.0 </t>
  </si>
  <si>
    <t xml:space="preserve">Beijing Kingsoft Office Softwa Ordinary CNY 1.0 </t>
  </si>
  <si>
    <t xml:space="preserve">Beijing New Bldg Materials PLC Ordinary CNY 1.0 </t>
  </si>
  <si>
    <t xml:space="preserve">Beijing Originwater Technology Ordinary CNY 1.0 </t>
  </si>
  <si>
    <t xml:space="preserve">Beijing SL Pharmaceutical Co L Ordinary CNY 1.0 </t>
  </si>
  <si>
    <t xml:space="preserve">Beijing Shiji Information Tech Ordinary CNY 1.0 </t>
  </si>
  <si>
    <t xml:space="preserve">Beijing Shunxin Agriculture Co Ordinary CNY 1.0 </t>
  </si>
  <si>
    <t xml:space="preserve">Beijing Sinnet Technology Co L Ordinary CNY 1.0 </t>
  </si>
  <si>
    <t xml:space="preserve">Beijing Tiantan Biological Pro Ordinary CNY 1.0 </t>
  </si>
  <si>
    <t xml:space="preserve">Beijing Wantai Biological Phar Ordinary CNY 1.0 </t>
  </si>
  <si>
    <t xml:space="preserve">Beijing Yanjing Brewery Co Ltd Ordinary CNY 1.0 </t>
  </si>
  <si>
    <t xml:space="preserve">Beijing-Shanghai High Speed Ra Ordinary CNY 1.0 </t>
  </si>
  <si>
    <t xml:space="preserve">Bk of Beijing Co Ltd Ordinary CNY 1.0 </t>
  </si>
  <si>
    <t xml:space="preserve">Bk of Changsha Co Ltd Ordinary CNY 1.0 </t>
  </si>
  <si>
    <t xml:space="preserve">Bk of China Ltd Ordinary CNY 1.0 </t>
  </si>
  <si>
    <t xml:space="preserve">Bk of Communications Co Ltd Ordinary CNY 1.0 </t>
  </si>
  <si>
    <t xml:space="preserve">Bk of Hangzhou Co Ltd Ordinary CNY 1.0 </t>
  </si>
  <si>
    <t xml:space="preserve">Bk of Jiangsu Co Ltd Ordinary CNY 1.0 </t>
  </si>
  <si>
    <t xml:space="preserve">Bk of Nanjing Co Ltd Ordinary CNY 1.0 </t>
  </si>
  <si>
    <t xml:space="preserve">Bk of Ningbo Co Ltd Ordinary CNY 1.0 </t>
  </si>
  <si>
    <t xml:space="preserve">Bk of Shanghai Co Ltd Ordinary CNY 1.0 </t>
  </si>
  <si>
    <t xml:space="preserve">Bk of Zhengzhou Co Ltd Ordinary CNY 1.0 </t>
  </si>
  <si>
    <t xml:space="preserve">By-health Co Ltd Ordinary CNY 1.0 </t>
  </si>
  <si>
    <t xml:space="preserve">C&amp;S Paper Co Ltd Ordinary CNY 1.0 </t>
  </si>
  <si>
    <t xml:space="preserve">CECEP Solar Energy Co Ltd Ordinary CNY 1.0 </t>
  </si>
  <si>
    <t xml:space="preserve">CITIC Secs Co Ltd Ordinary CNY 1.0 </t>
  </si>
  <si>
    <t xml:space="preserve">COSCO SHIPPING Energy Transpor Ordinary CNY 1.0 </t>
  </si>
  <si>
    <t xml:space="preserve">COSCO SHIPPING Holdings Co Ltd Ordinary CNY 1.0 </t>
  </si>
  <si>
    <t xml:space="preserve">CRRC Corp Ltd Ordinary CNY 1.0 </t>
  </si>
  <si>
    <t xml:space="preserve">CSC Financial Co Ltd Ordinary CNY 1.0 </t>
  </si>
  <si>
    <t xml:space="preserve">Changchun High &amp; New Technolog Ordinary CNY 1.0 </t>
  </si>
  <si>
    <t xml:space="preserve">Changjiang Secs Co Ltd Ordinary CNY 1.0 </t>
  </si>
  <si>
    <t xml:space="preserve">Changzhou Xingyu Automotive Li Ordinary CNY 1.0 </t>
  </si>
  <si>
    <t xml:space="preserve">Chaozhou Three-Circle Group Co Ordinary CNY 1.0 </t>
  </si>
  <si>
    <t xml:space="preserve">China Baoan Group Co Ltd Ordinary CNY 1.0 </t>
  </si>
  <si>
    <t xml:space="preserve">China CSSC Holdings Ltd Ordinary CNY 1.0 </t>
  </si>
  <si>
    <t xml:space="preserve">China Coal Energy Co Ltd Ordinary CNY 1.0 </t>
  </si>
  <si>
    <t xml:space="preserve">China Construction Bk Corp Ordinary CNY 1.0 </t>
  </si>
  <si>
    <t xml:space="preserve">China Eastern Airlines Corp Lt Ordinary CNY 1.0 </t>
  </si>
  <si>
    <t xml:space="preserve">China Everbright Bk Co Ltd Ordinary CNY 1.0 </t>
  </si>
  <si>
    <t xml:space="preserve">China Galaxy Secs Co Ltd Ordinary CNY 1.0 </t>
  </si>
  <si>
    <t xml:space="preserve">China Greatwall Technology Gro Ordinary CNY 1.0 </t>
  </si>
  <si>
    <t xml:space="preserve">China Intl Marine Containers G Ordinary CNY 1.0 </t>
  </si>
  <si>
    <t xml:space="preserve">China Jushi Co Ltd Ordinary CNY 1.0 </t>
  </si>
  <si>
    <t xml:space="preserve">China Life Insurance Co Ltd Ordinary CNY 1.0 </t>
  </si>
  <si>
    <t xml:space="preserve">China Merchants Bk Co Ltd Ordinary CNY 1.0 </t>
  </si>
  <si>
    <t xml:space="preserve">China Merchants Property Opera Ordinary CNY 1.0 </t>
  </si>
  <si>
    <t xml:space="preserve">China Merchants Secs Co Ltd Ordinary CNY 1.0 </t>
  </si>
  <si>
    <t xml:space="preserve">China Merchants Shekou Industr Ordinary CNY 1.0 </t>
  </si>
  <si>
    <t xml:space="preserve">China Minsheng Bking Corp Ltd Ordinary CNY 1.0 </t>
  </si>
  <si>
    <t xml:space="preserve">China Molybdenum Co Ltd Ordinary CNY 0.2 </t>
  </si>
  <si>
    <t xml:space="preserve">China National Chemical Engine Ordinary CNY 1.0 </t>
  </si>
  <si>
    <t xml:space="preserve">China National Nuclear Power C Ordinary CNY 1.0 </t>
  </si>
  <si>
    <t xml:space="preserve">China Northern Rare Earth Grou Ordinary CNY 1.0 </t>
  </si>
  <si>
    <t xml:space="preserve">China Oilfield Services Ltd Ordinary CNY 1.0 </t>
  </si>
  <si>
    <t xml:space="preserve">China Pacific Insurance Group Ordinary CNY 1.0 </t>
  </si>
  <si>
    <t xml:space="preserve">China Pet &amp; Chemical Corp Ordinary CNY 1.0 </t>
  </si>
  <si>
    <t xml:space="preserve">China Railway Group Ltd Ordinary CNY 1.0 </t>
  </si>
  <si>
    <t xml:space="preserve">China Railway Signal &amp; Communi Ordinary CNY 1.0 </t>
  </si>
  <si>
    <t xml:space="preserve">China Resources Sanjiu Medical Ordinary CNY 1.0 </t>
  </si>
  <si>
    <t xml:space="preserve">China Shenhua Energy Co Ltd Ordinary CNY 1.0 </t>
  </si>
  <si>
    <t xml:space="preserve">China Southern Airlines Co Ltd Ordinary CNY 1.0 </t>
  </si>
  <si>
    <t xml:space="preserve">China State Construction Engin Ordinary CNY 1.0 </t>
  </si>
  <si>
    <t xml:space="preserve">China Tourism Group Duty Free Ordinary CNY 1.0 </t>
  </si>
  <si>
    <t xml:space="preserve">China TransInfo Technology Co Ordinary CNY 1.0 </t>
  </si>
  <si>
    <t xml:space="preserve">China Vanke Co Ltd Ordinary CNY 1.0 </t>
  </si>
  <si>
    <t xml:space="preserve">China Yangtze Power Co Ltd Ordinary CNY 1.0 </t>
  </si>
  <si>
    <t xml:space="preserve">Chongqing Brewery Co Ltd Ordinary CNY 1.0 </t>
  </si>
  <si>
    <t xml:space="preserve">Chongqing Changan Automobile C Ordinary CNY 1.0 </t>
  </si>
  <si>
    <t xml:space="preserve">Chongqing Zhifei Biological Pr Ordinary CNY 1.0 </t>
  </si>
  <si>
    <t xml:space="preserve">Citic Pacific Special Steel Gr Ordinary CNY 1.0 </t>
  </si>
  <si>
    <t xml:space="preserve">Contemporary Amperex Technolog Ordinary CNY 1.0 </t>
  </si>
  <si>
    <t xml:space="preserve">DHC Software Co Ltd Ordinary CNY 1.0 </t>
  </si>
  <si>
    <t xml:space="preserve">DaShenLin Pharmaceutical Group Ordinary CNY 1.0 </t>
  </si>
  <si>
    <t xml:space="preserve">Daan Gene Co Ltd Ordinary CNY 1.0 </t>
  </si>
  <si>
    <t xml:space="preserve">Dian Diagnostics Group Co Ltd Ordinary CNY 1.0 </t>
  </si>
  <si>
    <t xml:space="preserve">Dong-E-E-Jiao Co Ltd Ordinary CNY 1.0 </t>
  </si>
  <si>
    <t xml:space="preserve">ENN Natural Gas Co Ltd Ordinary CNY 1.0 </t>
  </si>
  <si>
    <t xml:space="preserve">East Money Information Co Ltd Ordinary CNY 1.0 </t>
  </si>
  <si>
    <t xml:space="preserve">Ecovacs Robotics Co Ltd Ordinary CNY 1.0 </t>
  </si>
  <si>
    <t xml:space="preserve">Eve Energy Co Ltd Ordinary CNY 1.0 </t>
  </si>
  <si>
    <t xml:space="preserve">Everbright Secs Co Ltd Ordinary CNY 1.0 </t>
  </si>
  <si>
    <t xml:space="preserve">Fangda Carbon New Material Co Ordinary CNY 1.0 </t>
  </si>
  <si>
    <t xml:space="preserve">First Capital Secs Co Ltd Ordinary CNY 1.0 </t>
  </si>
  <si>
    <t xml:space="preserve">Focus Media Information Techno Ordinary CNY 1.0 </t>
  </si>
  <si>
    <t xml:space="preserve">Foshan Haitian Flavouring &amp; Fo Ordinary CNY 1.0 </t>
  </si>
  <si>
    <t xml:space="preserve">Founder Secs Co Ltd Ordinary CNY 1.0 </t>
  </si>
  <si>
    <t xml:space="preserve">Foxconn Industrial Internet Co Ordinary CNY 1.0 </t>
  </si>
  <si>
    <t xml:space="preserve">Fu Jian Anjoy Foods Co Ltd Ordinary CNY 1.0 </t>
  </si>
  <si>
    <t xml:space="preserve">Fujian Sunner Development Co L Ordinary CNY 1.0 </t>
  </si>
  <si>
    <t xml:space="preserve">Fuyao Glass Industry Group Co Ordinary CNY 1.0 </t>
  </si>
  <si>
    <t xml:space="preserve">G-bits Network Technology Xiam Ordinary CNY 1.0 </t>
  </si>
  <si>
    <t xml:space="preserve">GCL System Integration Technol Ordinary CNY 1.0 </t>
  </si>
  <si>
    <t xml:space="preserve">GEM Co Ltd Ordinary CNY 1.0 </t>
  </si>
  <si>
    <t xml:space="preserve">GF Secs Co Ltd Ordinary CNY 1.0 </t>
  </si>
  <si>
    <t xml:space="preserve">GRG Bking Equipment Co Ltd Ordinary CNY 1.0 </t>
  </si>
  <si>
    <t xml:space="preserve">Ganfeng Lithium Co Ltd Ordinary CNY 1.0 </t>
  </si>
  <si>
    <t xml:space="preserve">Gemdale Corp Ordinary CNY 1.0 </t>
  </si>
  <si>
    <t xml:space="preserve">Gigadevice Semiconductor Beiji Ordinary CNY 1.0 </t>
  </si>
  <si>
    <t xml:space="preserve">GoerTek Inc Ordinary CNY 1.0 </t>
  </si>
  <si>
    <t xml:space="preserve">Gongniu Group Co Ltd Ordinary CNY 1.0 </t>
  </si>
  <si>
    <t xml:space="preserve">Gotion High-tech Co Ltd Ordinary CNY 1.0 </t>
  </si>
  <si>
    <t xml:space="preserve">Great Wall Motor Co Ltd Ordinary CNY 1.0 </t>
  </si>
  <si>
    <t xml:space="preserve">Greenland Holdings Corp Ltd Ordinary CNY 1.0 </t>
  </si>
  <si>
    <t xml:space="preserve">Guangdong Haid Group Co Ltd Ordinary CNY 1.0 </t>
  </si>
  <si>
    <t xml:space="preserve">Guangdong Kinlong Hardware Pro Ordinary CNY 1.0 </t>
  </si>
  <si>
    <t xml:space="preserve">Guangdong Xinbao Electrical Ap Ordinary CNY 1.0 </t>
  </si>
  <si>
    <t xml:space="preserve">Guangzhou Baiyunshan Pharmaceu Ordinary CNY 1.0 </t>
  </si>
  <si>
    <t xml:space="preserve">Guangzhou Haige Communications Ordinary CNY 1.0 </t>
  </si>
  <si>
    <t xml:space="preserve">Guangzhou Kingmed Diagnostics Ordinary CNY 1.0 </t>
  </si>
  <si>
    <t xml:space="preserve">Guangzhou Shiyuan Electronic T Ordinary CNY 1.0 </t>
  </si>
  <si>
    <t xml:space="preserve">Guangzhou Tinci Materials Tech Ordinary CNY 1.0 </t>
  </si>
  <si>
    <t xml:space="preserve">Guangzhou Wondfo Biotech Co Lt Ordinary CNY 1.0 </t>
  </si>
  <si>
    <t xml:space="preserve">Guosen Secs Co Ltd Ordinary CNY 1.0 </t>
  </si>
  <si>
    <t xml:space="preserve">Guosheng Financial Holding Inc Ordinary CNY 1.0 </t>
  </si>
  <si>
    <t xml:space="preserve">Guotai Junan Secs Co Ltd Ordinary CNY 1.0 </t>
  </si>
  <si>
    <t xml:space="preserve">Haier Smart Home Co Ltd Ordinary CNY 1.0 </t>
  </si>
  <si>
    <t xml:space="preserve">Haitong Secs Co Ltd Ordinary CNY 1.0 </t>
  </si>
  <si>
    <t xml:space="preserve">Han's Laser Technology Industr Ordinary CNY 1.0 </t>
  </si>
  <si>
    <t xml:space="preserve">Hang Zhou Great Star Industria Ordinary CNY 1.0 </t>
  </si>
  <si>
    <t xml:space="preserve">Hangzhou First Applied Materia Ordinary CNY 1.0 </t>
  </si>
  <si>
    <t xml:space="preserve">Hangzhou Oxygen Plant Group Co Ordinary CNY 1.0 </t>
  </si>
  <si>
    <t xml:space="preserve">Hangzhou Silan Microelectronic Ordinary CNY 1.0 </t>
  </si>
  <si>
    <t xml:space="preserve">Hangzhou Tigermed Consulting C Ordinary CNY 1.0 </t>
  </si>
  <si>
    <t xml:space="preserve">Harbin Boshi Automation Co Ltd Ordinary CNY 1.0 </t>
  </si>
  <si>
    <t xml:space="preserve">Henan Shuanghui Investment &amp; D Ordinary CNY 1.0 </t>
  </si>
  <si>
    <t xml:space="preserve">Hengdian Group DMEGC Magnetics Ordinary CNY 1.0 </t>
  </si>
  <si>
    <t xml:space="preserve">Hengli Petrochemical Co Ltd Ordinary CNY 1.0 </t>
  </si>
  <si>
    <t xml:space="preserve">Hengyi Petrochemical Co Ltd Ordinary CNY 1.0 </t>
  </si>
  <si>
    <t xml:space="preserve">Hithink RoyalFlush Information Ordinary CNY 1.0 </t>
  </si>
  <si>
    <t xml:space="preserve">Hongfa Technology Co Ltd Ordinary CNY 1.0 </t>
  </si>
  <si>
    <t xml:space="preserve">Hongta Secs Co Ltd Ordinary CNY 1.0 </t>
  </si>
  <si>
    <t xml:space="preserve">Hoshine Silicon Industry Co Lt Ordinary CNY 1.0 </t>
  </si>
  <si>
    <t xml:space="preserve">Huadong Medicine Co Ltd Ordinary CNY 1.0 </t>
  </si>
  <si>
    <t xml:space="preserve">Huafon Chemical Co Ltd Ordinary CNY 1.0 </t>
  </si>
  <si>
    <t xml:space="preserve">Huagong Tech Co Ltd Ordinary CNY 1.0 </t>
  </si>
  <si>
    <t xml:space="preserve">Huaibei Mining Holdings Co Ltd Ordinary CNY 1.0 </t>
  </si>
  <si>
    <t xml:space="preserve">Hualan Biological Engineering Ordinary CNY 1.0 </t>
  </si>
  <si>
    <t xml:space="preserve">Huaneng Power Intl Inc Ordinary CNY 1.0 </t>
  </si>
  <si>
    <t xml:space="preserve">Huatai Secs Co Ltd Ordinary CNY 1.0 </t>
  </si>
  <si>
    <t xml:space="preserve">Huaxia Bk Co Ltd Ordinary CNY 1.0 </t>
  </si>
  <si>
    <t xml:space="preserve">Huayu Automotive Systems Co Lt Ordinary CNY 1.0 </t>
  </si>
  <si>
    <t xml:space="preserve">Hubei Energy Group Co Ltd Ordinary CNY 1.0 </t>
  </si>
  <si>
    <t xml:space="preserve">Huizhou Desay Sv Automotive Co Ordinary CNY 1.0 </t>
  </si>
  <si>
    <t xml:space="preserve">Humanwell Healthcare Group Co Ordinary CNY 1.0 </t>
  </si>
  <si>
    <t xml:space="preserve">Hunan Valin Steel Co Ltd Ordinary CNY 1.0 </t>
  </si>
  <si>
    <t xml:space="preserve">Hundsun Technologies Inc Ordinary CNY 1.0 </t>
  </si>
  <si>
    <t xml:space="preserve">Iflytek Co Ltd Ordinary CNY 1.0 </t>
  </si>
  <si>
    <t xml:space="preserve">Imeik Technology Development C Ordinary CNY 1.0 </t>
  </si>
  <si>
    <t xml:space="preserve">Industrial &amp; Commercial Bk of Ordinary CNY 1.0 </t>
  </si>
  <si>
    <t xml:space="preserve">Industrial Bk Co Ltd Ordinary CNY 1.0 </t>
  </si>
  <si>
    <t xml:space="preserve">Industrial Secs Co Ltd Ordinary CNY 1.0 </t>
  </si>
  <si>
    <t xml:space="preserve">Inner Mongolia BaoTou Steel Un Ordinary CNY 1.0 </t>
  </si>
  <si>
    <t xml:space="preserve">Inner Mongolia Junzheng Energy Ordinary CNY 1.0 </t>
  </si>
  <si>
    <t xml:space="preserve">Inner Mongolia Yili Industrial Ordinary CNY 1.0 </t>
  </si>
  <si>
    <t xml:space="preserve">Inspur Electronic Information Ordinary CNY 1.0 </t>
  </si>
  <si>
    <t xml:space="preserve">Intco Medical Technology Co Lt Ordinary CNY 1.0 </t>
  </si>
  <si>
    <t xml:space="preserve">JA Solar Technology Co Ltd Ordinary CNY 1.0 </t>
  </si>
  <si>
    <t xml:space="preserve">JCET Group Co Ltd Ordinary CNY 1.0 </t>
  </si>
  <si>
    <t xml:space="preserve">Jafron Biomedical Co Ltd Ordinary CNY 1.0 </t>
  </si>
  <si>
    <t xml:space="preserve">Jason Furniture Hangzhou Co Lt Ordinary CNY 1.0 </t>
  </si>
  <si>
    <t xml:space="preserve">Jiangsu Eastern Shenghong Co L Ordinary CNY 1.0 </t>
  </si>
  <si>
    <t xml:space="preserve">Jiangsu Hengli Hydraulic Co Lt Ordinary CNY 1.0 </t>
  </si>
  <si>
    <t xml:space="preserve">Jiangsu Hengrui Medicine Co Lt Ordinary CNY 1.0 </t>
  </si>
  <si>
    <t xml:space="preserve">Jiangsu King's Luck Brewery JS Ordinary CNY 1.0 </t>
  </si>
  <si>
    <t xml:space="preserve">Jiangsu Yanghe Brewery Joint-S Ordinary CNY 1.0 </t>
  </si>
  <si>
    <t xml:space="preserve">Jiangsu Yangnong Chemical Co L Ordinary CNY 1.0 </t>
  </si>
  <si>
    <t xml:space="preserve">Jiangsu Yuyue Medical Equipmen Ordinary CNY 1.0 </t>
  </si>
  <si>
    <t xml:space="preserve">Jiangsu Zhongtian Technology C Ordinary CNY 1.0 </t>
  </si>
  <si>
    <t xml:space="preserve">Jiangxi Copper Co Ltd Ordinary CNY 1.0 </t>
  </si>
  <si>
    <t xml:space="preserve">Jiangxi Zhengbang Technology C Ordinary CNY 1.0 </t>
  </si>
  <si>
    <t xml:space="preserve">Jinke Properties Group Co Ltd Ordinary CNY 1.0 </t>
  </si>
  <si>
    <t xml:space="preserve">JiuGui Liquor Co Ltd Ordinary CNY 1.0 </t>
  </si>
  <si>
    <t xml:space="preserve">Jointown Pharmaceutical Group Ordinary CNY 1.0 </t>
  </si>
  <si>
    <t xml:space="preserve">Jonjee Hi-Tech Industrial And Ordinary CNY 1.0 </t>
  </si>
  <si>
    <t xml:space="preserve">Joyoung Co Ltd Ordinary CNY 1.0 </t>
  </si>
  <si>
    <t xml:space="preserve">Kingfa Sci &amp; Tech Co Ltd Ordinary CNY 1.0 </t>
  </si>
  <si>
    <t xml:space="preserve">Kuang-Chi Technologies Co Ltd Ordinary CNY 1.0 </t>
  </si>
  <si>
    <t xml:space="preserve">Kweichow Moutai Co Ltd Ordinary CNY 1.0 </t>
  </si>
  <si>
    <t xml:space="preserve">LB Group Co Ltd Ordinary CNY 1.0 </t>
  </si>
  <si>
    <t xml:space="preserve">LONGi Green Energy Technology Ordinary CNY 1.0 </t>
  </si>
  <si>
    <t xml:space="preserve">Laobaixing Pharmacy Chain JSC Ordinary CNY 1.0 </t>
  </si>
  <si>
    <t xml:space="preserve">Lens Technology Co Ltd Ordinary CNY 1.0 </t>
  </si>
  <si>
    <t xml:space="preserve">Leo Group Co Ltd Ordinary CNY 1.0 </t>
  </si>
  <si>
    <t xml:space="preserve">Lianhe Chemical Technology Co Ordinary CNY 1.0 </t>
  </si>
  <si>
    <t xml:space="preserve">Lingyi iTech Guangdong Co Ordinary CNY 1.0 </t>
  </si>
  <si>
    <t xml:space="preserve">Luxshare Precision Industry Co Ordinary CNY 1.0 </t>
  </si>
  <si>
    <t xml:space="preserve">Luzhou Laojiao Co Ltd Ordinary CNY 1.0 </t>
  </si>
  <si>
    <t xml:space="preserve">Mango Excellent Media Co Ltd Ordinary CNY 1.0 </t>
  </si>
  <si>
    <t xml:space="preserve">Maxscend Microelectronics Co L Ordinary CNY 1.0 </t>
  </si>
  <si>
    <t xml:space="preserve">Meinian Onehealth Healthcare H Ordinary CNY 1.0 </t>
  </si>
  <si>
    <t xml:space="preserve">Metallurgical Corp of China Lt Ordinary CNY 1.0 </t>
  </si>
  <si>
    <t xml:space="preserve">Montage Technology Co Ltd Ordinary CNY 1.0 </t>
  </si>
  <si>
    <t xml:space="preserve">Muyuan Foods Co Ltd Ordinary CNY 1.0 </t>
  </si>
  <si>
    <t xml:space="preserve">NARI Technology Co Ltd Ordinary CNY 1.0 </t>
  </si>
  <si>
    <t xml:space="preserve">NAURA Technology Group Co Ltd Ordinary CNY 1.0 </t>
  </si>
  <si>
    <t xml:space="preserve">Nanjing King-Friend Biochemica Ordinary CNY 1.0 </t>
  </si>
  <si>
    <t xml:space="preserve">NavInfo Co Ltd Ordinary CNY 1.0 </t>
  </si>
  <si>
    <t xml:space="preserve">New China Life Insurance Co Lt Ordinary CNY 1.0 </t>
  </si>
  <si>
    <t xml:space="preserve">New Hope Liuhe Co Ltd Ordinary CNY 1.0 </t>
  </si>
  <si>
    <t xml:space="preserve">Ningbo Tuopu Group Co Ltd Ordinary CNY 1.0 </t>
  </si>
  <si>
    <t xml:space="preserve">Ningxia Baofeng Energy Group C Ordinary CNY 1.0 </t>
  </si>
  <si>
    <t xml:space="preserve">Northeast Secs Co Ltd Ordinary CNY 1.0 </t>
  </si>
  <si>
    <t xml:space="preserve">OFILM Group Co Ltd Ordinary CNY 1.0 </t>
  </si>
  <si>
    <t xml:space="preserve">Offcn Education Technology Co Ordinary CNY 1.0 </t>
  </si>
  <si>
    <t xml:space="preserve">Oppein Home Group Inc Ordinary CNY 1.0 </t>
  </si>
  <si>
    <t xml:space="preserve">Orient Secs Co Ltd/China Ordinary CNY 1.0 </t>
  </si>
  <si>
    <t xml:space="preserve">Ovctek China Inc Ordinary CNY 1.0 </t>
  </si>
  <si>
    <t xml:space="preserve">Perfect World Co Ltd/China Ordinary CNY 1.0 </t>
  </si>
  <si>
    <t xml:space="preserve">Pharmaron Beijing Co Ltd Ordinary CNY 1.0 </t>
  </si>
  <si>
    <t xml:space="preserve">Ping An Bk Co Ltd Ordinary CNY 1.0 </t>
  </si>
  <si>
    <t xml:space="preserve">Ping An Insurance Group Co of Ordinary CNY 1.0 </t>
  </si>
  <si>
    <t xml:space="preserve">Poly Developments and Holdings Ordinary CNY 1.0 </t>
  </si>
  <si>
    <t xml:space="preserve">Power Construction Corp of Chi Ordinary CNY 1.0 </t>
  </si>
  <si>
    <t xml:space="preserve">Proya Cosmetics Co Ltd Ordinary CNY 1.0 </t>
  </si>
  <si>
    <t xml:space="preserve">Qingdao TGOOD Electric Co Ltd Ordinary CNY 1.0 </t>
  </si>
  <si>
    <t xml:space="preserve">Raytron Technology Co Ltd Ordinary CNY 1.0 </t>
  </si>
  <si>
    <t xml:space="preserve">Rongsheng Petrochemical Co Ltd Ordinary CNY 1.0 </t>
  </si>
  <si>
    <t xml:space="preserve">SAIC Motor Corp Ltd Ordinary CNY 1.0 </t>
  </si>
  <si>
    <t xml:space="preserve">SDIC Capital Co Ltd Ordinary CNY 1.0 </t>
  </si>
  <si>
    <t xml:space="preserve">SDIC Power Holdings Co Ltd Ordinary CNY 1.0 </t>
  </si>
  <si>
    <t xml:space="preserve">SF Holding Co Ltd Ordinary CNY 1.0 </t>
  </si>
  <si>
    <t xml:space="preserve">SG Micro Corp Ordinary CNY 1.0 </t>
  </si>
  <si>
    <t xml:space="preserve">STO Express Co Ltd Ordinary CNY 1.0 </t>
  </si>
  <si>
    <t xml:space="preserve">Sangfor Technologies Inc Ordinary CNY 1.0 </t>
  </si>
  <si>
    <t xml:space="preserve">Sany Heavy Industry Co Ltd Ordinary CNY 1.0 </t>
  </si>
  <si>
    <t xml:space="preserve">Satellite Chemical Co Ltd Ordinary CNY 1.0 </t>
  </si>
  <si>
    <t xml:space="preserve">Seazen Holdings Co Ltd Ordinary CNY 1.0 </t>
  </si>
  <si>
    <t xml:space="preserve">Shaanxi Coal Industry Co Ltd Ordinary CNY 1.0 </t>
  </si>
  <si>
    <t xml:space="preserve">Shandong Denghai Seeds Co Ltd Ordinary CNY 1.0 </t>
  </si>
  <si>
    <t xml:space="preserve">Shandong Gold Mining Co Ltd Ordinary CNY 1.0 </t>
  </si>
  <si>
    <t xml:space="preserve">Shandong Himile Mechanical Sci Ordinary CNY 1.0 </t>
  </si>
  <si>
    <t xml:space="preserve">Shandong Hualu Hengsheng Chemi Ordinary CNY 1.0 </t>
  </si>
  <si>
    <t xml:space="preserve">Shandong Linglong Tyre Co Ltd Ordinary CNY 1.0 </t>
  </si>
  <si>
    <t xml:space="preserve">Shandong Nanshan Aluminum Co L Ordinary CNY 1.0 </t>
  </si>
  <si>
    <t xml:space="preserve">Shandong Pharmaceutical Glass Ordinary CNY 1.0 </t>
  </si>
  <si>
    <t xml:space="preserve">Shandong Sun Paper Industry JS Ordinary CNY 1.0 </t>
  </si>
  <si>
    <t xml:space="preserve">Shanghai Bairun Investment Hol Ordinary CNY 1.0 </t>
  </si>
  <si>
    <t xml:space="preserve">Shanghai Baosight Software Co Ordinary CNY 1.0 </t>
  </si>
  <si>
    <t xml:space="preserve">Shanghai Electric Power Co Ltd Ordinary CNY 1.0 </t>
  </si>
  <si>
    <t xml:space="preserve">Shanghai Fosun Pharmaceutical Ordinary CNY 1.0 </t>
  </si>
  <si>
    <t xml:space="preserve">Shanghai Intl Airport Co Ltd Ordinary CNY 1.0 </t>
  </si>
  <si>
    <t xml:space="preserve">Shanghai Intl Port Group Co Lt Ordinary CNY 1.0 </t>
  </si>
  <si>
    <t xml:space="preserve">Shanghai Jahwa Utd Co Ltd Ordinary CNY 1.0 </t>
  </si>
  <si>
    <t xml:space="preserve">Shanghai Jinjiang Intl Hotels Ordinary CNY 1.0 </t>
  </si>
  <si>
    <t xml:space="preserve">Shanghai Lingang Holdings Corp Ordinary CNY 1.0 </t>
  </si>
  <si>
    <t xml:space="preserve">Shanghai M&amp;G Stationery Inc Ordinary CNY 1.0 </t>
  </si>
  <si>
    <t xml:space="preserve">Shanghai Pharmaceuticals Holdi Ordinary CNY 1.0 </t>
  </si>
  <si>
    <t xml:space="preserve">Shanghai Pudong Development Bk Ordinary CNY 1.0 </t>
  </si>
  <si>
    <t xml:space="preserve">Shanghai Putailai New Energy T Ordinary CNY 1.0 </t>
  </si>
  <si>
    <t xml:space="preserve">Shanghai RAAS Blood Products C Ordinary CNY 1.0 </t>
  </si>
  <si>
    <t xml:space="preserve">Shanghai Yuyuan Tourist Mart G Ordinary CNY 1.0 </t>
  </si>
  <si>
    <t xml:space="preserve">Shanghai Zhangjiang High-Tech Ordinary CNY 1.0 </t>
  </si>
  <si>
    <t xml:space="preserve">Shanxi Coking Coal Energy Grou Ordinary CNY 1.0 </t>
  </si>
  <si>
    <t xml:space="preserve">Shanxi Lu'an Environmental Ene Ordinary CNY 1.0 </t>
  </si>
  <si>
    <t xml:space="preserve">Shanxi Xinghuacun Fen Wine Fac Ordinary CNY 1.0 </t>
  </si>
  <si>
    <t xml:space="preserve">Shenghe Resources Holding Co L Ordinary CNY 1.0 </t>
  </si>
  <si>
    <t xml:space="preserve">Shengyi Technology Co Ltd Ordinary CNY 1.0 </t>
  </si>
  <si>
    <t xml:space="preserve">Shennan Circuits Co Ltd Ordinary CNY 1.0 </t>
  </si>
  <si>
    <t xml:space="preserve">Shenwan Hongyuan Group Co Ltd Ordinary CNY 1.0 </t>
  </si>
  <si>
    <t xml:space="preserve">Shenzhen Agricultural Products Ordinary CNY 1.0 </t>
  </si>
  <si>
    <t xml:space="preserve">Shenzhen Capchem Technology Co Ordinary CNY 1.0 </t>
  </si>
  <si>
    <t xml:space="preserve">Shenzhen Energy Group Co Ltd Ordinary CNY 1.0 </t>
  </si>
  <si>
    <t xml:space="preserve">Shenzhen Inovance Technology C Ordinary CNY 1.0 </t>
  </si>
  <si>
    <t xml:space="preserve">Shenzhen Kangtai Biological Pr Ordinary CNY 1.0 </t>
  </si>
  <si>
    <t xml:space="preserve">Shenzhen Mindray Bio-Medical E Ordinary CNY 1.0 </t>
  </si>
  <si>
    <t xml:space="preserve">Shenzhen Overseas Chinese Town Ordinary CNY 1.0 </t>
  </si>
  <si>
    <t xml:space="preserve">Shenzhen SC New Energy Technol Ordinary CNY 1.0 </t>
  </si>
  <si>
    <t xml:space="preserve">Shenzhen Transsion Holdings Co Ordinary CNY 1.0 </t>
  </si>
  <si>
    <t xml:space="preserve">Siasun Robot &amp; Automation Co L Ordinary CNY 1.0 </t>
  </si>
  <si>
    <t xml:space="preserve">Sichuan Chuantou Energy Co Ltd Ordinary CNY 1.0 </t>
  </si>
  <si>
    <t xml:space="preserve">Sichuan Hebang Biotechnology C Ordinary CNY 1.0 </t>
  </si>
  <si>
    <t xml:space="preserve">Sichuan Kelun Pharmaceutical C Ordinary CNY 1.0 </t>
  </si>
  <si>
    <t xml:space="preserve">Sichuan Road &amp; Bridge Co Ltd Ordinary CNY 1.0 </t>
  </si>
  <si>
    <t xml:space="preserve">Sichuan Swellfun Co Ltd Ordinary CNY 1.0 </t>
  </si>
  <si>
    <t xml:space="preserve">Sinolink Secs Co Ltd Ordinary CNY 1.0 </t>
  </si>
  <si>
    <t xml:space="preserve">Sinoma Science &amp; Technology Co Ordinary CNY 1.0 </t>
  </si>
  <si>
    <t xml:space="preserve">Skshu Paint Co Ltd Ordinary CNY 1.0 </t>
  </si>
  <si>
    <t xml:space="preserve">Songcheng Performance Developm Ordinary CNY 1.0 </t>
  </si>
  <si>
    <t xml:space="preserve">SooChow Secs Co Ltd Ordinary CNY 1.0 </t>
  </si>
  <si>
    <t xml:space="preserve">Southwest Secs Co Ltd Ordinary CNY 1.0 </t>
  </si>
  <si>
    <t xml:space="preserve">StarPower Semiconductor Ltd Ordinary CNY 1.0 </t>
  </si>
  <si>
    <t xml:space="preserve">Sungrow Power Supply Co Ltd Ordinary CNY 1.0 </t>
  </si>
  <si>
    <t xml:space="preserve">Suning.com Co Ltd Ordinary CNY 1.0 </t>
  </si>
  <si>
    <t xml:space="preserve">Sunwoda Electronic Co Ltd Ordinary CNY 1.0 </t>
  </si>
  <si>
    <t xml:space="preserve">Suzhou Dongshan Precision Manu Ordinary CNY 1.0 </t>
  </si>
  <si>
    <t xml:space="preserve">Suzhou Gold Mantis Constructio Ordinary CNY 1.0 </t>
  </si>
  <si>
    <t xml:space="preserve">TBEA Co Ltd Ordinary CNY 1.0 </t>
  </si>
  <si>
    <t xml:space="preserve">TCL Technology Group Corp Ordinary CNY 1.0 </t>
  </si>
  <si>
    <t xml:space="preserve">Tangshan Sanyou Chemical Indus Ordinary CNY 1.0 </t>
  </si>
  <si>
    <t xml:space="preserve">Thunder Software Technology Co Ordinary CNY 1.0 </t>
  </si>
  <si>
    <t xml:space="preserve">Tianfeng Secs Co Ltd Ordinary CNY 1.0 </t>
  </si>
  <si>
    <t xml:space="preserve">Tianjin Zhonghuan Semiconducto Ordinary CNY 1.0 </t>
  </si>
  <si>
    <t xml:space="preserve">Tianma Microelectronics Co Ltd Ordinary CNY 1.0 </t>
  </si>
  <si>
    <t xml:space="preserve">Tianshui Huatian Technology Co Ordinary CNY 1.0 </t>
  </si>
  <si>
    <t xml:space="preserve">TongFu Microelectronics Co Ltd Ordinary CNY 1.0 </t>
  </si>
  <si>
    <t xml:space="preserve">Tongkun Group Co Ltd Ordinary CNY 1.0 </t>
  </si>
  <si>
    <t xml:space="preserve">Tongling Nonferrous Metals Gro Ordinary CNY 1.0 </t>
  </si>
  <si>
    <t xml:space="preserve">Tongwei Co Ltd Ordinary CNY 1.0 </t>
  </si>
  <si>
    <t xml:space="preserve">Topchoice Medical Corp Ordinary CNY 1.0 </t>
  </si>
  <si>
    <t xml:space="preserve">Topsec Technologies Group Inc Ordinary CNY 1.0 </t>
  </si>
  <si>
    <t xml:space="preserve">Tsingtao Brewery Co Ltd Ordinary CNY 1.0 </t>
  </si>
  <si>
    <t xml:space="preserve">Unigroup Guoxin Microelectroni Ordinary CNY 1.0 </t>
  </si>
  <si>
    <t xml:space="preserve">Unisplendour Corp Ltd Ordinary CNY 1.0 </t>
  </si>
  <si>
    <t xml:space="preserve">WUS Printed Circuit Kunshan Co Ordinary CNY 1.0 </t>
  </si>
  <si>
    <t xml:space="preserve">Walvax Biotechnology Co Ltd Ordinary CNY 1.0 </t>
  </si>
  <si>
    <t xml:space="preserve">Wanhua Chemical Group Co Ltd Ordinary CNY 1.0 </t>
  </si>
  <si>
    <t xml:space="preserve">Weichai Power Co Ltd Ordinary CNY 1.0 </t>
  </si>
  <si>
    <t xml:space="preserve">Weifu High-Technology Group Co Ordinary CNY 1.0 </t>
  </si>
  <si>
    <t xml:space="preserve">Weihai Guangwei Composites Co Ordinary CNY 1.0 </t>
  </si>
  <si>
    <t xml:space="preserve">Wens Foodstuffs Group Co Ltd Ordinary CNY 1.0 </t>
  </si>
  <si>
    <t xml:space="preserve">Western Secs Co Ltd Ordinary CNY 1.0 </t>
  </si>
  <si>
    <t xml:space="preserve">Will Semiconductor Co Ltd Shan Ordinary CNY 1.0 </t>
  </si>
  <si>
    <t xml:space="preserve">Wingtech Technology Co Ltd Ordinary CNY 1.0 </t>
  </si>
  <si>
    <t xml:space="preserve">Winning Health Technology Grou Ordinary CNY 1.0 </t>
  </si>
  <si>
    <t xml:space="preserve">WuXi AppTec Co Ltd Ordinary CNY 1.0 </t>
  </si>
  <si>
    <t xml:space="preserve">Wuchan Zhongda Group Co Ltd Ordinary CNY 1.0 </t>
  </si>
  <si>
    <t xml:space="preserve">Wuhan Guide Infrared Co Ltd Ordinary CNY 1.0 </t>
  </si>
  <si>
    <t xml:space="preserve">Wuhu Sanqi Interactive Enterta Ordinary CNY 1.0 </t>
  </si>
  <si>
    <t xml:space="preserve">Wuliangye Yibin Co Ltd Ordinary CNY 1.0 </t>
  </si>
  <si>
    <t xml:space="preserve">Wuxi Lead Intelligent Equipmen Ordinary CNY 1.0 </t>
  </si>
  <si>
    <t xml:space="preserve">XCMG Construction Machinery Co Ordinary CNY 1.0 </t>
  </si>
  <si>
    <t xml:space="preserve">Xiamen C &amp; D Inc Ordinary CNY 1.0 </t>
  </si>
  <si>
    <t xml:space="preserve">Xiamen Tungsten Co Ltd Ordinary CNY 1.0 </t>
  </si>
  <si>
    <t xml:space="preserve">Xinjiang Goldwind Science &amp; Te Ordinary CNY 1.0 </t>
  </si>
  <si>
    <t xml:space="preserve">Xinyangfeng Agricultural Techn Ordinary CNY 1.0 </t>
  </si>
  <si>
    <t xml:space="preserve">YTO Express Group Co Ltd Ordinary CNY 1.0 </t>
  </si>
  <si>
    <t xml:space="preserve">Yango Group Co Ltd Ordinary CNY 1.0 </t>
  </si>
  <si>
    <t xml:space="preserve">Yantai Eddie Precision Machine Ordinary CNY 1.0 </t>
  </si>
  <si>
    <t xml:space="preserve">Yantai Jereh Oilfield Services Ordinary CNY 1.0 </t>
  </si>
  <si>
    <t xml:space="preserve">Yealink Network Technology Cor Ordinary CNY 1.0 </t>
  </si>
  <si>
    <t xml:space="preserve">Yifan Pharmaceutical Co Ltd Ordinary CNY 1.0 </t>
  </si>
  <si>
    <t xml:space="preserve">Yifeng Pharmacy Chain Co Ltd Ordinary CNY 1.0 </t>
  </si>
  <si>
    <t xml:space="preserve">Yonghui Superstores Co Ltd Ordinary CNY 1.0 </t>
  </si>
  <si>
    <t xml:space="preserve">Yonyou Network Technology Co L Ordinary CNY 1.0 </t>
  </si>
  <si>
    <t xml:space="preserve">Youngor Group Co Ltd Ordinary CNY 1.0 </t>
  </si>
  <si>
    <t xml:space="preserve">Yuan Longping High-tech Agricu Ordinary CNY 1.0 </t>
  </si>
  <si>
    <t xml:space="preserve">Yunda Holding Co Ltd Ordinary CNY 1.0 </t>
  </si>
  <si>
    <t xml:space="preserve">Yunnan Aluminium Co Ltd Ordinary CNY 1.0 </t>
  </si>
  <si>
    <t xml:space="preserve">Yunnan Baiyao Group Co Ltd Ordinary CNY 1.0 </t>
  </si>
  <si>
    <t xml:space="preserve">Yunnan Copper Co Ltd Ordinary CNY 1.0 </t>
  </si>
  <si>
    <t xml:space="preserve">Yunnan Energy New Material Co Ordinary CNY 1.0 </t>
  </si>
  <si>
    <t xml:space="preserve">ZTE Corp Ordinary CNY 1.0 </t>
  </si>
  <si>
    <t xml:space="preserve">Zhangzhou Pientzehuang Pharmac Ordinary CNY 1.0 </t>
  </si>
  <si>
    <t xml:space="preserve">Zhefu Holding Group Co Ltd Ordinary CNY 1.0 </t>
  </si>
  <si>
    <t xml:space="preserve">Zhejiang Century Huatong Group Ordinary CNY 1.0 </t>
  </si>
  <si>
    <t xml:space="preserve">Zhejiang China Commodities Cit Ordinary CNY 1.0 </t>
  </si>
  <si>
    <t xml:space="preserve">Zhejiang Chint Electrics Co Lt Ordinary CNY 1.0 </t>
  </si>
  <si>
    <t xml:space="preserve">Zhejiang Dahua Technology Co L Ordinary CNY 1.0 </t>
  </si>
  <si>
    <t xml:space="preserve">Zhejiang Dingli Machinery Co L Ordinary CNY 1.0 </t>
  </si>
  <si>
    <t xml:space="preserve">Zhejiang Huayou Cobalt Co Ltd Ordinary CNY 1.0 </t>
  </si>
  <si>
    <t xml:space="preserve">Zhejiang Jingsheng Mechanical Ordinary CNY 1.0 </t>
  </si>
  <si>
    <t xml:space="preserve">Zhejiang Juhua Co Ltd Ordinary CNY 1.0 </t>
  </si>
  <si>
    <t xml:space="preserve">Zhejiang Longsheng Group Co Lt Ordinary CNY 1.0 </t>
  </si>
  <si>
    <t xml:space="preserve">Zhejiang NHU Co Ltd Ordinary CNY 1.0 </t>
  </si>
  <si>
    <t xml:space="preserve">Zhejiang Sanhua Intelligent Co Ordinary CNY 1.0 </t>
  </si>
  <si>
    <t xml:space="preserve">Zhejiang Supor Co Ltd Ordinary CNY 1.0 </t>
  </si>
  <si>
    <t xml:space="preserve">Zhejiang Weixing New Bldg Mate Ordinary CNY 1.0 </t>
  </si>
  <si>
    <t xml:space="preserve">Zhejiang Wolwo Bio-Pharmaceuti Ordinary CNY 1.0 </t>
  </si>
  <si>
    <t xml:space="preserve">Zhongtai Secs Co Ltd Ordinary CNY 1.0 </t>
  </si>
  <si>
    <t xml:space="preserve">Zhuzhou Kibing Group Co Ltd Ordinary CNY 1.0 </t>
  </si>
  <si>
    <t xml:space="preserve">Zijin Mining Group Co Ltd Ordinary CNY 0.1 </t>
  </si>
  <si>
    <t xml:space="preserve">Zoomlion Heavy Industry Scienc Ordinary CNY 1.0 </t>
  </si>
  <si>
    <t xml:space="preserve">                                                                                    </t>
  </si>
  <si>
    <t xml:space="preserve">Bancolombia SA Ordinary COP 500.0 </t>
  </si>
  <si>
    <t>COP</t>
  </si>
  <si>
    <t xml:space="preserve">Bancolombia SA Preference COP </t>
  </si>
  <si>
    <t xml:space="preserve">Cementos Argos SA Ordinary COP 6.0 </t>
  </si>
  <si>
    <t xml:space="preserve">Ecopetrol SA Ordinary COP 250.0 </t>
  </si>
  <si>
    <t xml:space="preserve">Grupo Argos SA/Colombia Ordinary COP 62.5 </t>
  </si>
  <si>
    <t xml:space="preserve">Grupo Aval Acciones y Valores Preference COP </t>
  </si>
  <si>
    <t xml:space="preserve">Grupo de Inversiones Surameric Ordinary COP 187.5 </t>
  </si>
  <si>
    <t xml:space="preserve">Interconexion Electrica SA ESP Ordinary COP 32.8 </t>
  </si>
  <si>
    <t xml:space="preserve">                                                                                              </t>
  </si>
  <si>
    <t xml:space="preserve">CEZ AS Ordinary CZK 100.0 </t>
  </si>
  <si>
    <t>CZK</t>
  </si>
  <si>
    <t xml:space="preserve">Komercni Bka AS Ordinary CZK 100.0 </t>
  </si>
  <si>
    <t xml:space="preserve">Moneta Money Bk AS Ordinary CZK 1.0 </t>
  </si>
  <si>
    <t xml:space="preserve">O2 Czech Republic AS Ordinary CZK 10.0 </t>
  </si>
  <si>
    <t xml:space="preserve">                                                                             </t>
  </si>
  <si>
    <t xml:space="preserve">Commercial Intl Bk Egypt SAE Ordinary EGP 10.0 </t>
  </si>
  <si>
    <t>EGP</t>
  </si>
  <si>
    <t xml:space="preserve">Eastern Co SAE Ordinary EGP 1.0 </t>
  </si>
  <si>
    <t xml:space="preserve">ElSewedy Electric Co Ordinary EGP 1.0 </t>
  </si>
  <si>
    <t xml:space="preserve">Telecom Egypt Co Ordinary EGP 10.0 </t>
  </si>
  <si>
    <t xml:space="preserve">Alpha Services and Holdings SA Ordinary EUR 0.3 </t>
  </si>
  <si>
    <t xml:space="preserve">Eurobank Ergasias Services and Ordinary EUR 0.22 </t>
  </si>
  <si>
    <t xml:space="preserve">FF Group Ordinary EUR 0.3 </t>
  </si>
  <si>
    <t xml:space="preserve">Hellenic Pet Holdings SA Ordinary EUR 2.18 </t>
  </si>
  <si>
    <t xml:space="preserve">Hellenic Telecommunications Or Ordinary EUR 2.83 </t>
  </si>
  <si>
    <t xml:space="preserve">JUMBO SA Ordinary EUR 0.88 </t>
  </si>
  <si>
    <t xml:space="preserve">Motor Oil Hellas Corinth Refin Ordinary EUR 0.75 </t>
  </si>
  <si>
    <t xml:space="preserve">Mytilineos SA Ordinary EUR 0.97 </t>
  </si>
  <si>
    <t xml:space="preserve">National Bk of Greece SA Ordinary EUR 1.0 </t>
  </si>
  <si>
    <t xml:space="preserve">OPAP SA Ordinary EUR 0.3 </t>
  </si>
  <si>
    <t xml:space="preserve">Piraeus Financial Holdings SA Ordinary EUR 0.95 </t>
  </si>
  <si>
    <t xml:space="preserve">Pub Power Corp SA Ordinary EUR 2.48 </t>
  </si>
  <si>
    <t xml:space="preserve">Terna Energy SA Ordinary EUR 0.3 </t>
  </si>
  <si>
    <t xml:space="preserve">                                                                  </t>
  </si>
  <si>
    <t>Accrued Expense</t>
  </si>
  <si>
    <t>GBP</t>
  </si>
  <si>
    <t xml:space="preserve">                                                                                      </t>
  </si>
  <si>
    <t xml:space="preserve">3SBio Inc Ordinary HKD 0.00001 </t>
  </si>
  <si>
    <t>HKD</t>
  </si>
  <si>
    <t xml:space="preserve">A-Living Smart City Services C Ordinary HKD 1.0 </t>
  </si>
  <si>
    <t xml:space="preserve">ANTA Sports Products Ltd Ordinary HKD 0.1 </t>
  </si>
  <si>
    <t xml:space="preserve">Agile Group Holdings Ltd Ordinary HKD 0.1 </t>
  </si>
  <si>
    <t xml:space="preserve">Agricultural Bk of China Ltd Ordinary HKD 1.0 </t>
  </si>
  <si>
    <t xml:space="preserve">Air China Ltd Ordinary HKD 1.0 </t>
  </si>
  <si>
    <t xml:space="preserve">Akeso Inc Ordinary HKD 0.00001 </t>
  </si>
  <si>
    <t xml:space="preserve">Alibaba Group Holding Ltd Ordinary HKD 0.00000312 </t>
  </si>
  <si>
    <t xml:space="preserve">Alibaba Health Information Tec Ordinary HKD 0.01 </t>
  </si>
  <si>
    <t xml:space="preserve">Alibaba Pictures Group Ltd Ordinary HKD 0.25 </t>
  </si>
  <si>
    <t xml:space="preserve">Aluminum Corp of China Ltd Ordinary HKD 1.0 </t>
  </si>
  <si>
    <t xml:space="preserve">Angang Steel Co Ltd Ordinary HKD 1.0 </t>
  </si>
  <si>
    <t xml:space="preserve">Anhui Conch Cement Co Ltd Ordinary HKD 1.0 </t>
  </si>
  <si>
    <t xml:space="preserve">Anhui Expressway Co Ltd Ordinary HKD 1.0 </t>
  </si>
  <si>
    <t xml:space="preserve">Anhui Gujing Distillery Co Ltd Ordinary HKD 1.0 </t>
  </si>
  <si>
    <t xml:space="preserve">AviChina Industry &amp; Technology Ordinary HKD 1.0 </t>
  </si>
  <si>
    <t xml:space="preserve">BAIC Motor Corp Ltd Ordinary HKD 1.0 </t>
  </si>
  <si>
    <t xml:space="preserve">BBMG Corp Ordinary HKD 1.0 </t>
  </si>
  <si>
    <t xml:space="preserve">BOE Technology Group Co Ltd Ordinary HKD 1.0 </t>
  </si>
  <si>
    <t xml:space="preserve">BYD Co Ltd Ordinary HKD 1.0 </t>
  </si>
  <si>
    <t xml:space="preserve">BYD Electronic Intl Co Ltd Ordinary HKD </t>
  </si>
  <si>
    <t xml:space="preserve">Beijing Capital Intl Airport C Ordinary HKD 1.0 </t>
  </si>
  <si>
    <t xml:space="preserve">Beijing Enterprises Holdings L Ordinary HKD </t>
  </si>
  <si>
    <t xml:space="preserve">Beijing Enterprises Water Grou Ordinary HKD 0.1 </t>
  </si>
  <si>
    <t xml:space="preserve">Beijing Jingneng Clean Energy Ordinary HKD 1.0 </t>
  </si>
  <si>
    <t xml:space="preserve">Bk of China Ltd Ordinary HKD 1.0 </t>
  </si>
  <si>
    <t xml:space="preserve">Bk of Communications Co Ltd Ordinary HKD 1.0 </t>
  </si>
  <si>
    <t xml:space="preserve">Bosideng Intl Holdings Ltd Ordinary HKD 0.00001 </t>
  </si>
  <si>
    <t xml:space="preserve">CGN Power Co Ltd Ordinary HKD 1.0 </t>
  </si>
  <si>
    <t xml:space="preserve">CIFI Holdings Group Co Ltd Ordinary HKD 0.1 </t>
  </si>
  <si>
    <t xml:space="preserve">CITIC Ltd Ordinary HKD </t>
  </si>
  <si>
    <t xml:space="preserve">CITIC Secs Co Ltd Ordinary HKD 1.0 </t>
  </si>
  <si>
    <t xml:space="preserve">COSCO SHIPPING Development Co Ordinary HKD 1.0 </t>
  </si>
  <si>
    <t xml:space="preserve">COSCO SHIPPING Energy Transpor Ordinary HKD 1.0 </t>
  </si>
  <si>
    <t xml:space="preserve">COSCO SHIPPING Holdings Co Ltd Ordinary HKD 1.0 </t>
  </si>
  <si>
    <t xml:space="preserve">COSCO SHIPPING Ports Ltd Ordinary HKD 0.1 </t>
  </si>
  <si>
    <t xml:space="preserve">CRRC Corp Ltd Ordinary HKD 1.0 </t>
  </si>
  <si>
    <t xml:space="preserve">CSC Financial Co Ltd Ordinary HKD 1.0 </t>
  </si>
  <si>
    <t xml:space="preserve">CSG Holding Co Ltd Ordinary HKD 1.0 </t>
  </si>
  <si>
    <t xml:space="preserve">CSPC Pharmaceutical Group Ltd Ordinary HKD </t>
  </si>
  <si>
    <t xml:space="preserve">CanSino Biologics Inc Ordinary HKD 1.0 </t>
  </si>
  <si>
    <t xml:space="preserve">Central China Secs Co Ltd Ordinary HKD 1.0 </t>
  </si>
  <si>
    <t xml:space="preserve">China CITIC Bk Corp Ltd Ordinary HKD 1.0 </t>
  </si>
  <si>
    <t xml:space="preserve">China Cinda Asset Mgt Co Ltd Ordinary HKD 1.0 </t>
  </si>
  <si>
    <t xml:space="preserve">China Coal Energy Co Ltd Ordinary HKD 1.0 </t>
  </si>
  <si>
    <t xml:space="preserve">China Communications Services Ordinary HKD 1.0 </t>
  </si>
  <si>
    <t xml:space="preserve">China Conch Venture Holdings L Ordinary HKD 0.01 </t>
  </si>
  <si>
    <t xml:space="preserve">China Construction Bk Corp Ordinary HKD 1.0 </t>
  </si>
  <si>
    <t xml:space="preserve">China East Education Holdings Ordinary HKD 0.0001 </t>
  </si>
  <si>
    <t xml:space="preserve">China Everbright Bk Co Ltd Ordinary HKD 1.0 </t>
  </si>
  <si>
    <t xml:space="preserve">China Everbright Environment G Ordinary HKD </t>
  </si>
  <si>
    <t xml:space="preserve">China Everbright Ltd Ordinary HKD 1.0 </t>
  </si>
  <si>
    <t xml:space="preserve">China Evergrande Group Ordinary HKD 0.01 </t>
  </si>
  <si>
    <t xml:space="preserve">China Feihe Ltd Ordinary HKD 2.000000E-8 </t>
  </si>
  <si>
    <t xml:space="preserve">China Galaxy Secs Co Ltd Ordinary HKD 1.0 </t>
  </si>
  <si>
    <t xml:space="preserve">China Gas Holdings Ltd Ordinary HKD 0.01 </t>
  </si>
  <si>
    <t xml:space="preserve">China Hongqiao Group Ltd Ordinary HKD 0.01 </t>
  </si>
  <si>
    <t xml:space="preserve">China Huarong Asset Mgt Co Ltd Ordinary HKD 1.0 </t>
  </si>
  <si>
    <t xml:space="preserve">China Huishan Dairy Holdings C Ordinary HKD </t>
  </si>
  <si>
    <t xml:space="preserve">China Intl Capital Corp Ltd Ordinary HKD 1.0 </t>
  </si>
  <si>
    <t xml:space="preserve">China Intl Marine Containers G Ordinary HKD 1.0 </t>
  </si>
  <si>
    <t xml:space="preserve">China Jinmao Holdings Group Lt Ordinary HKD </t>
  </si>
  <si>
    <t xml:space="preserve">China Lesso Group Holdings Ltd Ordinary HKD 0.05 </t>
  </si>
  <si>
    <t xml:space="preserve">China Life Insurance Co Ltd Ordinary HKD 1.0 </t>
  </si>
  <si>
    <t xml:space="preserve">China Literature Ltd Ordinary HKD 0.0001 </t>
  </si>
  <si>
    <t xml:space="preserve">China Longyuan Power Group Cor Ordinary HKD 1.0 </t>
  </si>
  <si>
    <t xml:space="preserve">China Medical System Holdings Ordinary HKD 0.005 </t>
  </si>
  <si>
    <t xml:space="preserve">China Meidong Auto Holdings Lt Ordinary HKD 0.1 </t>
  </si>
  <si>
    <t xml:space="preserve">China Mengniu Dairy Co Ltd Ordinary HKD 0.1 </t>
  </si>
  <si>
    <t xml:space="preserve">China Merchants Bk Co Ltd Ordinary HKD 1.0 </t>
  </si>
  <si>
    <t xml:space="preserve">China Merchants Port Holdings Ordinary HKD </t>
  </si>
  <si>
    <t xml:space="preserve">China Merchants Property Devel Ordinary HKD 1.0 </t>
  </si>
  <si>
    <t xml:space="preserve">China Merchants Secs Co Ltd Ordinary HKD 1.0 </t>
  </si>
  <si>
    <t xml:space="preserve">China Minsheng Bking Corp Ltd Ordinary HKD 1.0 </t>
  </si>
  <si>
    <t xml:space="preserve">China Molybdenum Co Ltd Ordinary HKD 0.2 </t>
  </si>
  <si>
    <t xml:space="preserve">China National Bldg Material C Ordinary HKD 1.0 </t>
  </si>
  <si>
    <t xml:space="preserve">China Oilfield Services Ltd Ordinary HKD 1.0 </t>
  </si>
  <si>
    <t xml:space="preserve">China Overseas Land &amp; Investme Ordinary HKD </t>
  </si>
  <si>
    <t xml:space="preserve">China Pacific Insurance Group Ordinary HKD 1.0 </t>
  </si>
  <si>
    <t xml:space="preserve">China Pet &amp; Chemical Corp Ordinary HKD 1.0 </t>
  </si>
  <si>
    <t xml:space="preserve">China Power Intl Development L Ordinary HKD </t>
  </si>
  <si>
    <t xml:space="preserve">China Railway Group Ltd Ordinary HKD 1.0 </t>
  </si>
  <si>
    <t xml:space="preserve">China Reinsurance Group Corp Ordinary HKD 1.0 </t>
  </si>
  <si>
    <t xml:space="preserve">China Resources Beer Holdings Ordinary HKD </t>
  </si>
  <si>
    <t xml:space="preserve">China Resources Cement Holding Ordinary HKD 0.1 </t>
  </si>
  <si>
    <t xml:space="preserve">China Resources Gas Group Ltd Ordinary HKD 0.1 </t>
  </si>
  <si>
    <t xml:space="preserve">China Resources Land Ltd Ordinary HKD 0.1 </t>
  </si>
  <si>
    <t xml:space="preserve">China Resources Mixc Lifestyle Ordinary HKD 0.00001 </t>
  </si>
  <si>
    <t xml:space="preserve">China Resources Pharmaceutical Ordinary HKD </t>
  </si>
  <si>
    <t xml:space="preserve">China Resources Power Holdings Ordinary HKD </t>
  </si>
  <si>
    <t xml:space="preserve">China Shenhua Energy Co Ltd Ordinary HKD 1.0 </t>
  </si>
  <si>
    <t xml:space="preserve">China Southern Airlines Co Ltd Ordinary HKD 1.0 </t>
  </si>
  <si>
    <t xml:space="preserve">China State Construction Intl Ordinary HKD 0.025 </t>
  </si>
  <si>
    <t xml:space="preserve">China Taiping Insurance Holdin Ordinary HKD </t>
  </si>
  <si>
    <t xml:space="preserve">China Tower Corp Ltd Ordinary HKD 1.0 </t>
  </si>
  <si>
    <t xml:space="preserve">China Traditional Chinese Medi Ordinary HKD </t>
  </si>
  <si>
    <t xml:space="preserve">China Vanke Co Ltd Ordinary HKD 1.0 </t>
  </si>
  <si>
    <t xml:space="preserve">Chongqing Changan Automobile C Ordinary HKD 1.0 </t>
  </si>
  <si>
    <t xml:space="preserve">Chongqing Rural Commercial Bk Ordinary HKD 1.0 </t>
  </si>
  <si>
    <t xml:space="preserve">Country Garden Holdings Co Ltd Ordinary HKD 0.1 </t>
  </si>
  <si>
    <t xml:space="preserve">Country Garden Services Holdin Ordinary HKD 0.0001 </t>
  </si>
  <si>
    <t xml:space="preserve">Dali Foods Group Co Ltd Ordinary HKD 0.01 </t>
  </si>
  <si>
    <t xml:space="preserve">Datang Intl Power Generation C Ordinary HKD 1.0 </t>
  </si>
  <si>
    <t xml:space="preserve">Dongfang Electric Corp Ltd Ordinary HKD 1.0 </t>
  </si>
  <si>
    <t xml:space="preserve">Dongfeng Motor Group Co Ltd Ordinary HKD 1.0 </t>
  </si>
  <si>
    <t xml:space="preserve">ENN Energy Holdings Ltd Ordinary HKD 0.1 </t>
  </si>
  <si>
    <t xml:space="preserve">Evergrande Property Services G Ordinary HKD 0.0001 </t>
  </si>
  <si>
    <t xml:space="preserve">Far East Horizon Ltd Ordinary HKD </t>
  </si>
  <si>
    <t xml:space="preserve">Flat Glass Group Co Ltd Ordinary HKD 0.25 </t>
  </si>
  <si>
    <t xml:space="preserve">Fosun Intl Ltd Ordinary HKD </t>
  </si>
  <si>
    <t xml:space="preserve">Fuyao Glass Industry Group Co Ordinary HKD 1.0 </t>
  </si>
  <si>
    <t xml:space="preserve">GF Secs Co Ltd Ordinary HKD 1.0 </t>
  </si>
  <si>
    <t xml:space="preserve">GOME Retail Holdings Ltd Ordinary HKD 0.025 </t>
  </si>
  <si>
    <t xml:space="preserve">Ganfeng Lithium Co Ltd Ordinary HKD 1.0 </t>
  </si>
  <si>
    <t xml:space="preserve">Geely Automobile Holdings Ltd Ordinary HKD 0.02 </t>
  </si>
  <si>
    <t xml:space="preserve">Genscript Biotech Corp Ordinary HKD 0.001 </t>
  </si>
  <si>
    <t xml:space="preserve">Great Wall Motor Co Ltd Ordinary HKD 1.0 </t>
  </si>
  <si>
    <t xml:space="preserve">Greentown China Holdings Ltd Ordinary HKD 0.1 </t>
  </si>
  <si>
    <t xml:space="preserve">Guangdong Electric Power Devel Ordinary HKD 1.0 </t>
  </si>
  <si>
    <t xml:space="preserve">Guangdong Investment Ltd Ordinary HKD </t>
  </si>
  <si>
    <t xml:space="preserve">Guangshen Railway Co Ltd Ordinary HKD 1.0 </t>
  </si>
  <si>
    <t xml:space="preserve">Guangzhou Automobile Group Co Ordinary HKD 1.0 </t>
  </si>
  <si>
    <t xml:space="preserve">Guangzhou R&amp;F Properties Co Lt Ordinary HKD 1.0 </t>
  </si>
  <si>
    <t xml:space="preserve">Guotai Junan Secs Co Ltd Ordinary HKD 1.0 </t>
  </si>
  <si>
    <t xml:space="preserve">Haidilao Intl Holding Ltd Ordinary HKD 0.000005 </t>
  </si>
  <si>
    <t xml:space="preserve">Haier Smart Home Co Ltd Ordinary HKD 1.0 </t>
  </si>
  <si>
    <t xml:space="preserve">Haitian Intl Holdings Ltd Ordinary HKD 0.1 </t>
  </si>
  <si>
    <t xml:space="preserve">Haitong Secs Co Ltd Ordinary HKD 1.0 </t>
  </si>
  <si>
    <t xml:space="preserve">Hanergy Thin Film Power Group Ordinary HKD 0.0025 </t>
  </si>
  <si>
    <t xml:space="preserve">Hangzhou Tigermed Consulting C Ordinary HKD 1.0 </t>
  </si>
  <si>
    <t xml:space="preserve">Hansoh Pharmaceutical Group Co Ordinary HKD 0.00001 </t>
  </si>
  <si>
    <t xml:space="preserve">Health &amp; Happiness H&amp;H Intl Ho Ordinary HKD 0.01 </t>
  </si>
  <si>
    <t xml:space="preserve">HengTen Networks Group Ltd Ordinary HKD 0.02 </t>
  </si>
  <si>
    <t xml:space="preserve">Hengan Intl Group Co Ltd Ordinary HKD 0.1 </t>
  </si>
  <si>
    <t xml:space="preserve">Hopson Development Holdings Lt Ordinary HKD 0.1 </t>
  </si>
  <si>
    <t xml:space="preserve">Hua Hong Semiconductor Ltd Ordinary HKD </t>
  </si>
  <si>
    <t xml:space="preserve">Huadian Power Intl Corp Ltd Ordinary HKD 1.0 </t>
  </si>
  <si>
    <t xml:space="preserve">Huaneng Power Intl Inc Ordinary HKD 1.0 </t>
  </si>
  <si>
    <t xml:space="preserve">Huatai Secs Co Ltd Ordinary HKD 1.0 </t>
  </si>
  <si>
    <t xml:space="preserve">Hygeia Healthcare Holdings Co Ordinary HKD 0.00001 </t>
  </si>
  <si>
    <t xml:space="preserve">Industrial &amp; Commercial Bk of Ordinary HKD 1.0 </t>
  </si>
  <si>
    <t xml:space="preserve">Innovent Biologics Inc Ordinary HKD 0.00001 </t>
  </si>
  <si>
    <t xml:space="preserve">JD Health Intl Inc Ordinary HKD 5.0000000E-7 </t>
  </si>
  <si>
    <t xml:space="preserve">JD.com Inc Ordinary HKD 0.00002 CL A </t>
  </si>
  <si>
    <t xml:space="preserve">Jiangsu Expressway Co Ltd Ordinary HKD 1.0 </t>
  </si>
  <si>
    <t xml:space="preserve">Jiangxi Copper Co Ltd Ordinary HKD 1.0 </t>
  </si>
  <si>
    <t xml:space="preserve">Jiayuan Intl Group Ltd Ordinary HKD 0.01 </t>
  </si>
  <si>
    <t xml:space="preserve">Jinxin Fertility Group Ltd Ordinary HKD 0.00001 </t>
  </si>
  <si>
    <t xml:space="preserve">Jiumaojiu Intl Holdings Ltd Ordinary HKD 1.0000000E-7 </t>
  </si>
  <si>
    <t xml:space="preserve">KWG Group Holdings Ltd Ordinary HKD 0.1 </t>
  </si>
  <si>
    <t xml:space="preserve">Kingboard Holdings Ltd Ordinary HKD 0.1 </t>
  </si>
  <si>
    <t xml:space="preserve">Kingboard Laminates Holdings L Ordinary HKD 0.1 </t>
  </si>
  <si>
    <t xml:space="preserve">Kingdee Intl Software Group Co Ordinary HKD 0.025 </t>
  </si>
  <si>
    <t xml:space="preserve">Kingsoft Corp Ltd Ordinary HKD 0.0005 </t>
  </si>
  <si>
    <t xml:space="preserve">Kuaishou Technology Ordinary HKD 0.0000053 </t>
  </si>
  <si>
    <t xml:space="preserve">Kunlun Energy Co Ltd Ordinary HKD 0.01 </t>
  </si>
  <si>
    <t xml:space="preserve">Legend Holdings Corp Ordinary HKD 1.0 </t>
  </si>
  <si>
    <t xml:space="preserve">Li Ning Co Ltd Ordinary HKD 0.1 </t>
  </si>
  <si>
    <t xml:space="preserve">Logan Group Co Ltd Ordinary HKD 0.1 </t>
  </si>
  <si>
    <t xml:space="preserve">Longfor Group Holdings Ltd Ordinary HKD 0.1 </t>
  </si>
  <si>
    <t xml:space="preserve">Luye Pharma Group Ltd Ordinary HKD 0.02 </t>
  </si>
  <si>
    <t xml:space="preserve">Meituan Ordinary HKD 0.00001 CL B </t>
  </si>
  <si>
    <t xml:space="preserve">Metallurgical Corp of China Lt Ordinary HKD 1.0 </t>
  </si>
  <si>
    <t xml:space="preserve">Ming Yuan Cloud Group Holdings Ordinary HKD 0.0001 </t>
  </si>
  <si>
    <t xml:space="preserve">NetEase Inc Ordinary HKD 0.0001 </t>
  </si>
  <si>
    <t xml:space="preserve">New China Life Insurance Co Lt Ordinary HKD 1.0 </t>
  </si>
  <si>
    <t xml:space="preserve">Nine Dragons Paper Holdings Lt Ordinary HKD 0.1 </t>
  </si>
  <si>
    <t xml:space="preserve">Orient Secs Co Ltd/China Ordinary HKD 1.0 </t>
  </si>
  <si>
    <t xml:space="preserve">PICC Property &amp; Casualty Co Lt Ordinary HKD 1.0 </t>
  </si>
  <si>
    <t xml:space="preserve">People's Insurance Co Group of Ordinary HKD 1.0 </t>
  </si>
  <si>
    <t xml:space="preserve">PetroChina Co Ltd Ordinary HKD 1.0 </t>
  </si>
  <si>
    <t xml:space="preserve">Pharmaron Beijing Co Ltd Ordinary HKD 1.0 </t>
  </si>
  <si>
    <t xml:space="preserve">Ping An Healthcare and Technol Ordinary HKD 0.000005 </t>
  </si>
  <si>
    <t xml:space="preserve">Ping An Insurance Group Co of Ordinary HKD 1.0 </t>
  </si>
  <si>
    <t xml:space="preserve">Poly Property Services Co Ltd Ordinary HKD 1.0 </t>
  </si>
  <si>
    <t xml:space="preserve">Pop Mart Intl Group Ltd Ordinary HKD 0.0001 </t>
  </si>
  <si>
    <t xml:space="preserve">Postal Svgs Bk of China Co Ltd Ordinary HKD 1.0 </t>
  </si>
  <si>
    <t xml:space="preserve">Red Star Macalline Group Corp Ordinary HKD 1.0 </t>
  </si>
  <si>
    <t xml:space="preserve">Remegen Co Ltd Ordinary HKD 1.0 </t>
  </si>
  <si>
    <t xml:space="preserve">SOHO China Ltd Ordinary HKD 0.02 </t>
  </si>
  <si>
    <t xml:space="preserve">Seazen Group Ltd Ordinary HKD 0.001 </t>
  </si>
  <si>
    <t xml:space="preserve">Seazen Group Ltd Right </t>
  </si>
  <si>
    <t xml:space="preserve">Shandong Chenming Paper Holdin Ordinary HKD 1.0 </t>
  </si>
  <si>
    <t xml:space="preserve">Shandong Gold Mining Co Ltd Ordinary HKD 1.0 </t>
  </si>
  <si>
    <t xml:space="preserve">Shandong Weigao Group Medical Ordinary HKD 0.1 </t>
  </si>
  <si>
    <t xml:space="preserve">Shanghai Electric Group Co Ltd Ordinary HKD 1.0 </t>
  </si>
  <si>
    <t xml:space="preserve">Shanghai Fosun Pharmaceutical Ordinary HKD 1.0 </t>
  </si>
  <si>
    <t xml:space="preserve">Shanghai Industrial Holdings L Ordinary HKD </t>
  </si>
  <si>
    <t xml:space="preserve">Shanghai Junshi Biosciences Co Ordinary HKD 1.0 </t>
  </si>
  <si>
    <t xml:space="preserve">Shanghai Pharmaceuticals Holdi Ordinary HKD 1.0 </t>
  </si>
  <si>
    <t xml:space="preserve">Shenzhen Expressway Corp Ltd Ordinary HKD 1.0 </t>
  </si>
  <si>
    <t xml:space="preserve">Shenzhen Hepalink Pharmaceutic Ordinary HKD 1.0 </t>
  </si>
  <si>
    <t xml:space="preserve">Shenzhen Intl Holdings Ltd Ordinary HKD 1.0 </t>
  </si>
  <si>
    <t xml:space="preserve">Shenzhen Investment Ltd Ordinary HKD </t>
  </si>
  <si>
    <t xml:space="preserve">Shenzhou Intl Group Holdings L Ordinary HKD 0.1 </t>
  </si>
  <si>
    <t xml:space="preserve">Shimao Group Holdings Ltd Ordinary HKD 0.1 </t>
  </si>
  <si>
    <t xml:space="preserve">Shimao Services Holdings Ltd Ordinary HKD 0.01 </t>
  </si>
  <si>
    <t xml:space="preserve">Shougang Fushan Resources Grou Ordinary HKD 0.1 </t>
  </si>
  <si>
    <t xml:space="preserve">Sino Biopharmaceutical Ltd Ordinary HKD 0.025 </t>
  </si>
  <si>
    <t xml:space="preserve">Sino-Ocean Group Holding Ltd Ordinary HKD </t>
  </si>
  <si>
    <t xml:space="preserve">Sinopec Engineering Group Co L Ordinary HKD 1.0 </t>
  </si>
  <si>
    <t xml:space="preserve">Sinopec Shanghai Petrochemical Ordinary HKD 1.0 </t>
  </si>
  <si>
    <t xml:space="preserve">Sinopharm Group Co Ltd Ordinary HKD 1.0 </t>
  </si>
  <si>
    <t xml:space="preserve">Sinotrans Ltd Ordinary HKD 1.0 </t>
  </si>
  <si>
    <t xml:space="preserve">Sinotruk Hong Kong Ltd Ordinary HKD 0.1 </t>
  </si>
  <si>
    <t xml:space="preserve">Smoore Intl Holdings Ltd Ordinary HKD 0.01 </t>
  </si>
  <si>
    <t xml:space="preserve">Sunac China Holdings Ltd Ordinary HKD 0.1 </t>
  </si>
  <si>
    <t xml:space="preserve">Sunac Services Holdings Ltd Ordinary HKD 0.01 </t>
  </si>
  <si>
    <t xml:space="preserve">Sunny Optical Technology Group Ordinary HKD 0.1 </t>
  </si>
  <si>
    <t xml:space="preserve">Tencent Holdings Ltd Ordinary HKD 0.00002 </t>
  </si>
  <si>
    <t xml:space="preserve">Tongcheng Travel Holdings Ltd Ordinary HKD 0.0005 </t>
  </si>
  <si>
    <t xml:space="preserve">Topsports Intl Holdings Ltd Ordinary HKD 0.000001 </t>
  </si>
  <si>
    <t xml:space="preserve">TravelSky Technology Ltd Ordinary HKD 1.0 </t>
  </si>
  <si>
    <t xml:space="preserve">Tsingtao Brewery Co Ltd Ordinary HKD 1.0 </t>
  </si>
  <si>
    <t xml:space="preserve">Weichai Power Co Ltd Ordinary HKD 1.0 </t>
  </si>
  <si>
    <t xml:space="preserve">WuXi AppTec Co Ltd Ordinary HKD 1.0 </t>
  </si>
  <si>
    <t xml:space="preserve">Wuxi Biologics Cayman Inc Ordinary HKD 0.00001 </t>
  </si>
  <si>
    <t xml:space="preserve">Xiaomi Corp Ordinary HKD 0.0000025 CL B </t>
  </si>
  <si>
    <t xml:space="preserve">Xinhua Winshare Publishing and Ordinary HKD 1.0 </t>
  </si>
  <si>
    <t xml:space="preserve">Xinjiang Goldwind Science &amp; Te Ordinary HKD 1.0 </t>
  </si>
  <si>
    <t xml:space="preserve">Xinyi Solar Holdings Ltd Ordinary HKD 0.1 </t>
  </si>
  <si>
    <t xml:space="preserve">Yadea Group Holdings Ltd Ordinary HKD 0.00001 </t>
  </si>
  <si>
    <t xml:space="preserve">Yankuang Energy Group Co Ltd Ordinary HKD 1.0 </t>
  </si>
  <si>
    <t xml:space="preserve">Yantai Changyu Pioneer Wine Co Ordinary HKD 1.0 </t>
  </si>
  <si>
    <t xml:space="preserve">Yihai Intl Holding Ltd Ordinary HKD 0.00001 </t>
  </si>
  <si>
    <t xml:space="preserve">Yuexiu Property Co Ltd Ordinary HKD </t>
  </si>
  <si>
    <t xml:space="preserve">ZTE Corp Ordinary HKD 1.0 </t>
  </si>
  <si>
    <t xml:space="preserve">Zhaojin Mining Industry Co Ltd Ordinary HKD 1.0 </t>
  </si>
  <si>
    <t xml:space="preserve">Zhejiang Expressway Co Ltd Ordinary HKD 1.0 </t>
  </si>
  <si>
    <t xml:space="preserve">ZhongAn Online P&amp;C Insurance C Ordinary HKD 1.0 </t>
  </si>
  <si>
    <t xml:space="preserve">Zhongsheng Group Holdings Ltd Ordinary HKD 0.0001 </t>
  </si>
  <si>
    <t xml:space="preserve">Zhuzhou CRRC Times Electric Co Ordinary HKD 1.0 </t>
  </si>
  <si>
    <t xml:space="preserve">Zijin Mining Group Co Ltd Ordinary HKD 0.1 </t>
  </si>
  <si>
    <t xml:space="preserve">Zoomlion Heavy Industry Scienc Ordinary HKD 1.0 </t>
  </si>
  <si>
    <t xml:space="preserve">                                                                                     </t>
  </si>
  <si>
    <t xml:space="preserve">MOL Hungarian Oil &amp; Gas PLC Ordinary HUF 125.0 </t>
  </si>
  <si>
    <t>HUF</t>
  </si>
  <si>
    <t xml:space="preserve">Magyar Telekom Telecommunicati Ordinary HUF 100.0 </t>
  </si>
  <si>
    <t xml:space="preserve">OTP Bk Nyrt Ordinary HUF 100.0 </t>
  </si>
  <si>
    <t xml:space="preserve">Richter Gedeon Nyrt Ordinary HUF 100.0 </t>
  </si>
  <si>
    <t xml:space="preserve">                                                                                   </t>
  </si>
  <si>
    <t xml:space="preserve">Adaro Energy Tbk PT Ordinary IDR 100.0 </t>
  </si>
  <si>
    <t>IDR</t>
  </si>
  <si>
    <t xml:space="preserve">Astra Agro Lestari Tbk PT Ordinary IDR 500.0 </t>
  </si>
  <si>
    <t xml:space="preserve">Astra Intl Tbk PT Ordinary IDR 50.0 </t>
  </si>
  <si>
    <t xml:space="preserve">Barito Pacific Tbk PT Ordinary IDR 100.0 </t>
  </si>
  <si>
    <t xml:space="preserve">Bk Central Asia Tbk PT Ordinary IDR 12.5 </t>
  </si>
  <si>
    <t xml:space="preserve">Bk Mandiri Persero Tbk PT Ordinary IDR 250.0 </t>
  </si>
  <si>
    <t xml:space="preserve">Bk Negara Indonesia Persero Tb Ordinary IDR 7500.0 </t>
  </si>
  <si>
    <t xml:space="preserve">Bk Rakyat Indonesia Persero Tb Ordinary IDR 50.0 </t>
  </si>
  <si>
    <t xml:space="preserve">Bukit Asam Tbk PT Ordinary IDR 500.0 </t>
  </si>
  <si>
    <t xml:space="preserve">Bumi Serpong Damai Tbk PT Ordinary IDR 100.0 </t>
  </si>
  <si>
    <t xml:space="preserve">Charoen Pokphand Indonesia Tbk Ordinary IDR 10.0 </t>
  </si>
  <si>
    <t xml:space="preserve">Gudang Garam Tbk PT Ordinary IDR 500.0 </t>
  </si>
  <si>
    <t xml:space="preserve">Hanjaya Mandala Sampoerna Tbk Ordinary IDR 4.0 </t>
  </si>
  <si>
    <t xml:space="preserve">Indah Kiat Pulp &amp; Paper Tbk PT Ordinary IDR 1000.0 </t>
  </si>
  <si>
    <t xml:space="preserve">Indocement Tunggal Prakarsa Tb Ordinary IDR 500.0 </t>
  </si>
  <si>
    <t xml:space="preserve">Indofood CBP Sukses Makmur Tbk Ordinary IDR 50.0 </t>
  </si>
  <si>
    <t xml:space="preserve">Indofood Sukses Makmur Tbk PT Ordinary IDR 100.0 </t>
  </si>
  <si>
    <t xml:space="preserve">Jasa Marga Persero Tbk PT Ordinary IDR 500.0 </t>
  </si>
  <si>
    <t xml:space="preserve">Kalbe Farma Tbk PT Ordinary IDR 10.0 </t>
  </si>
  <si>
    <t xml:space="preserve">Mayora Indah Tbk PT Ordinary IDR 20.0 </t>
  </si>
  <si>
    <t xml:space="preserve">Media Nusantara Citra Tbk PT Ordinary IDR 100.0 </t>
  </si>
  <si>
    <t xml:space="preserve">Perusahaan Gas Negara Tbk PT Ordinary IDR 100.0 </t>
  </si>
  <si>
    <t xml:space="preserve">Sarana Menara Nusantara Tbk PT Ordinary IDR 10.0 </t>
  </si>
  <si>
    <t xml:space="preserve">Semen Indonesia Persero Tbk PT Ordinary IDR 100.0 </t>
  </si>
  <si>
    <t xml:space="preserve">Smartfren Telecom Tbk PT Ordinary IDR 2000.0 </t>
  </si>
  <si>
    <t xml:space="preserve">Surya Citra Media Tbk PT Ordinary IDR 10.0 </t>
  </si>
  <si>
    <t xml:space="preserve">Telkom Indonesia Persero Tbk P Ordinary IDR 50.0 </t>
  </si>
  <si>
    <t xml:space="preserve">Tower Bersama Infrastructure T Ordinary IDR 100.0 </t>
  </si>
  <si>
    <t xml:space="preserve">Unilever Indonesia Tbk PT Ordinary IDR 2.0 </t>
  </si>
  <si>
    <t xml:space="preserve">Utd Tractors Tbk PT Ordinary IDR 250.0 </t>
  </si>
  <si>
    <t xml:space="preserve">Vale Indonesia Tbk PT Ordinary IDR 25.0 </t>
  </si>
  <si>
    <t xml:space="preserve">XL Axiata Tbk PT Ordinary IDR 100.0 </t>
  </si>
  <si>
    <t xml:space="preserve">3M India Ltd Ordinary INR 10.0 </t>
  </si>
  <si>
    <t>INR</t>
  </si>
  <si>
    <t xml:space="preserve">ABB India Ltd Ordinary INR 2.0 </t>
  </si>
  <si>
    <t xml:space="preserve">ACC Ltd Ordinary INR 10.0 </t>
  </si>
  <si>
    <t xml:space="preserve">AU Small Finance Bk Ltd Ordinary INR 10.0 </t>
  </si>
  <si>
    <t xml:space="preserve">Aarti Industries Ltd Ordinary INR 5.0 </t>
  </si>
  <si>
    <t xml:space="preserve">Adani Enterprises Ltd Ordinary INR 1.0 </t>
  </si>
  <si>
    <t xml:space="preserve">Adani Green Energy Ltd Ordinary INR 10.0 </t>
  </si>
  <si>
    <t xml:space="preserve">Adani Ports &amp; Special Economic Ordinary INR 2.0 </t>
  </si>
  <si>
    <t xml:space="preserve">Adani Power Ltd Ordinary INR 10.0 </t>
  </si>
  <si>
    <t xml:space="preserve">Adani Total Gas Ltd Ordinary INR 1.0 </t>
  </si>
  <si>
    <t xml:space="preserve">Adani Transmission Ltd Ordinary INR 10.0 </t>
  </si>
  <si>
    <t xml:space="preserve">Aditya Birla Capital Ltd Ordinary INR 10.0 </t>
  </si>
  <si>
    <t xml:space="preserve">Alkem Laboratories Ltd Ordinary INR 2.0 </t>
  </si>
  <si>
    <t xml:space="preserve">Ambuja Cements Ltd Ordinary INR 2.0 </t>
  </si>
  <si>
    <t xml:space="preserve">Apollo Hospitals Enterprise Lt Ordinary INR 5.0 </t>
  </si>
  <si>
    <t xml:space="preserve">Ashok Leyland Ltd Ordinary INR 1.0 </t>
  </si>
  <si>
    <t xml:space="preserve">Asian Paints Ltd Ordinary INR 1.0 </t>
  </si>
  <si>
    <t xml:space="preserve">Astral Ltd Ordinary INR 1.0 </t>
  </si>
  <si>
    <t xml:space="preserve">Aurobindo Pharma Ltd Ordinary INR 1.0 </t>
  </si>
  <si>
    <t xml:space="preserve">Avenue Supermarts Ltd Ordinary INR 10.0 </t>
  </si>
  <si>
    <t xml:space="preserve">Axis Bk Ltd Ordinary INR 2.0 </t>
  </si>
  <si>
    <t xml:space="preserve">Bajaj Auto Ltd Ordinary INR 10.0 </t>
  </si>
  <si>
    <t xml:space="preserve">Bajaj Finance Ltd Ordinary INR 2.0 </t>
  </si>
  <si>
    <t xml:space="preserve">Bajaj Finserv Ltd Ordinary INR 5.0 </t>
  </si>
  <si>
    <t xml:space="preserve">Bajaj Holdings &amp; Investment Lt Ordinary INR 10.0 </t>
  </si>
  <si>
    <t xml:space="preserve">Balkrishna Industries Ltd Ordinary INR 2.0 </t>
  </si>
  <si>
    <t xml:space="preserve">Bandhan Bk Ltd Ordinary INR 10.0 </t>
  </si>
  <si>
    <t xml:space="preserve">Bata India Ltd Ordinary INR 5.0 </t>
  </si>
  <si>
    <t xml:space="preserve">Bayer CropScience Ltd/India Ordinary INR 10.0 </t>
  </si>
  <si>
    <t xml:space="preserve">Berger Paints India Ltd Ordinary INR 1.0 </t>
  </si>
  <si>
    <t xml:space="preserve">Bharat Electronics Ltd Ordinary INR 1.0 </t>
  </si>
  <si>
    <t xml:space="preserve">Bharat Forge Ltd Ordinary INR 2.0 </t>
  </si>
  <si>
    <t xml:space="preserve">Bharat Heavy Electricals Ltd Ordinary INR 2.0 </t>
  </si>
  <si>
    <t xml:space="preserve">Bharat Pet Corp Ltd Ordinary INR 10.0 </t>
  </si>
  <si>
    <t xml:space="preserve">Bharti Airtel Ltd Ordinary INR 5.0 </t>
  </si>
  <si>
    <t xml:space="preserve">Biocon Ltd Ordinary INR 5.0 </t>
  </si>
  <si>
    <t xml:space="preserve">Bk of Baroda Ordinary INR 2.0 </t>
  </si>
  <si>
    <t xml:space="preserve">Bk of India Ordinary INR 10.0 </t>
  </si>
  <si>
    <t xml:space="preserve">Bosch Ltd Ordinary INR 10.0 </t>
  </si>
  <si>
    <t xml:space="preserve">Britannia Industries Ltd Ordinary INR 1.0 </t>
  </si>
  <si>
    <t xml:space="preserve">Cadila Healthcare Ltd Ordinary INR 1.0 </t>
  </si>
  <si>
    <t xml:space="preserve">Canara Bk Ordinary INR 10.0 </t>
  </si>
  <si>
    <t xml:space="preserve">Castrol India Ltd Ordinary INR 5.0 </t>
  </si>
  <si>
    <t xml:space="preserve">Cholamandalam Investment and F Ordinary INR 2.0 </t>
  </si>
  <si>
    <t xml:space="preserve">Cipla Ltd/India Ordinary INR 2.0 </t>
  </si>
  <si>
    <t xml:space="preserve">Coal India Ltd Ordinary INR 10.0 </t>
  </si>
  <si>
    <t xml:space="preserve">Colgate-Palmolive India Ltd Ordinary INR 1.0 </t>
  </si>
  <si>
    <t xml:space="preserve">Container Corp Of India Ltd Ordinary INR 5.0 </t>
  </si>
  <si>
    <t xml:space="preserve">Coromandel Intl Ltd Ordinary INR 1.0 </t>
  </si>
  <si>
    <t xml:space="preserve">Cummins India Ltd Ordinary INR 2.0 </t>
  </si>
  <si>
    <t xml:space="preserve">DLF Ltd Ordinary INR 2.0 </t>
  </si>
  <si>
    <t xml:space="preserve">Dabur India Ltd Ordinary INR 1.0 </t>
  </si>
  <si>
    <t xml:space="preserve">Dalmia Bharat Ltd Ordinary INR 2.0 </t>
  </si>
  <si>
    <t xml:space="preserve">Divi's Laboratories Ltd Ordinary INR 2.0 </t>
  </si>
  <si>
    <t xml:space="preserve">Dr Reddy's Laboratories Ltd Ordinary INR 5.0 </t>
  </si>
  <si>
    <t xml:space="preserve">Eicher Motors Ltd Ordinary INR 1.0 </t>
  </si>
  <si>
    <t xml:space="preserve">Emami Ltd Ordinary INR 1.0 </t>
  </si>
  <si>
    <t xml:space="preserve">Embassy Office Parks REIT REIT INR </t>
  </si>
  <si>
    <t xml:space="preserve">Exide Industries Ltd Ordinary INR 1.0 </t>
  </si>
  <si>
    <t xml:space="preserve">Federal Bk Ltd Ordinary INR 2.0 </t>
  </si>
  <si>
    <t xml:space="preserve">GAIL India Ltd Ordinary INR 10.0 </t>
  </si>
  <si>
    <t xml:space="preserve">GMR Infrastructure Ltd Ordinary INR 1.0 </t>
  </si>
  <si>
    <t xml:space="preserve">GlaxoSmithKline Pharmaceutical Ordinary INR 10.0 </t>
  </si>
  <si>
    <t xml:space="preserve">Glenmark Pharmaceuticals Ltd Ordinary INR 1.0 </t>
  </si>
  <si>
    <t xml:space="preserve">Godrej Consumer Products Ltd Ordinary INR 1.0 </t>
  </si>
  <si>
    <t xml:space="preserve">Godrej Industries Ltd Ordinary INR 1.0 </t>
  </si>
  <si>
    <t xml:space="preserve">Godrej Properties Ltd Ordinary INR 5.0 </t>
  </si>
  <si>
    <t xml:space="preserve">Grasim Industries Ltd Ordinary INR 2.0 </t>
  </si>
  <si>
    <t xml:space="preserve">Gujarat Gas Ltd Ordinary INR 2.0 </t>
  </si>
  <si>
    <t xml:space="preserve">HCL Technologies Ltd Ordinary INR 2.0 </t>
  </si>
  <si>
    <t xml:space="preserve">HDFC Asset Mgt Co Ltd Ordinary INR 5.0 </t>
  </si>
  <si>
    <t xml:space="preserve">HDFC Life Insurance Co Ltd Ordinary INR 10.0 </t>
  </si>
  <si>
    <t xml:space="preserve">Havells India Ltd Ordinary INR 1.0 </t>
  </si>
  <si>
    <t xml:space="preserve">Hero MotoCorp Ltd Ordinary INR 2.0 </t>
  </si>
  <si>
    <t xml:space="preserve">Hindalco Industries Ltd Ordinary INR 1.0 </t>
  </si>
  <si>
    <t xml:space="preserve">Hindustan Aeronautics Ltd Ordinary INR 10.0 </t>
  </si>
  <si>
    <t xml:space="preserve">Hindustan Pet Corp Ltd Ordinary INR 10.0 </t>
  </si>
  <si>
    <t xml:space="preserve">Hindustan Unilever Ltd Ordinary INR 1.0 </t>
  </si>
  <si>
    <t xml:space="preserve">Hindustan Zinc Ltd Ordinary INR 2.0 </t>
  </si>
  <si>
    <t xml:space="preserve">Honeywell Automation India Ltd Ordinary INR 10.0 </t>
  </si>
  <si>
    <t xml:space="preserve">Housing Development Finance Co Ordinary INR 2.0 </t>
  </si>
  <si>
    <t xml:space="preserve">ICICI Bk Ltd Ordinary INR 2.0 </t>
  </si>
  <si>
    <t xml:space="preserve">ICICI Lombard General Insuranc Ordinary INR 10.0 </t>
  </si>
  <si>
    <t xml:space="preserve">ICICI Prudential Life Insuranc Ordinary INR 10.0 </t>
  </si>
  <si>
    <t xml:space="preserve">IDFC First Bk Ltd Ordinary INR 10.0 </t>
  </si>
  <si>
    <t xml:space="preserve">ITC Ltd Ordinary INR 1.0 </t>
  </si>
  <si>
    <t xml:space="preserve">Indiabulls Housing Finance Ltd Ordinary INR 2.0 </t>
  </si>
  <si>
    <t xml:space="preserve">Indian Oil Corp Ltd Ordinary INR 10.0 </t>
  </si>
  <si>
    <t xml:space="preserve">Indian Railway Catering &amp; Tour Ordinary INR 2.0 </t>
  </si>
  <si>
    <t xml:space="preserve">Indraprastha Gas Ltd Ordinary INR 2.0 </t>
  </si>
  <si>
    <t xml:space="preserve">Indus Towers Ltd Ordinary INR 10.0 </t>
  </si>
  <si>
    <t xml:space="preserve">Info Edge India Ltd Ordinary INR 10.0 </t>
  </si>
  <si>
    <t xml:space="preserve">Infosys Ltd Ordinary INR 5.0 </t>
  </si>
  <si>
    <t xml:space="preserve">InterGlobe Aviation Ltd Ordinary INR 10.0 </t>
  </si>
  <si>
    <t xml:space="preserve">Ipca Laboratories Ltd Ordinary INR 2.0 </t>
  </si>
  <si>
    <t xml:space="preserve">JSW Energy Ltd Ordinary INR 10.0 </t>
  </si>
  <si>
    <t xml:space="preserve">JSW Steel Ltd Ordinary INR 1.0 </t>
  </si>
  <si>
    <t xml:space="preserve">Jindal Steel &amp; Power Ltd Ordinary INR 1.0 </t>
  </si>
  <si>
    <t xml:space="preserve">Jubilant Foodworks Ltd Ordinary INR 10.0 </t>
  </si>
  <si>
    <t xml:space="preserve">Kansai Nerolac Paints Ltd Ordinary INR 1.0 </t>
  </si>
  <si>
    <t xml:space="preserve">L&amp;T Finance Holdings Ltd Ordinary INR 10.0 </t>
  </si>
  <si>
    <t xml:space="preserve">L&amp;T Technology Services Ltd Ordinary INR 2.0 </t>
  </si>
  <si>
    <t xml:space="preserve">LIC Housing Finance Ltd Ordinary INR 2.0 </t>
  </si>
  <si>
    <t xml:space="preserve">Larsen &amp; Toubro Infotech Ltd Ordinary INR 1.0 </t>
  </si>
  <si>
    <t xml:space="preserve">Larsen &amp; Toubro Ltd Ordinary INR 2.0 </t>
  </si>
  <si>
    <t xml:space="preserve">Laurus Labs Ltd Ordinary INR 2.0 </t>
  </si>
  <si>
    <t xml:space="preserve">Lupin Ltd Ordinary INR 2.0 </t>
  </si>
  <si>
    <t xml:space="preserve">MRF Ltd Ordinary INR 10.0 </t>
  </si>
  <si>
    <t xml:space="preserve">Mahindra &amp; Mahindra Financial Ordinary INR 2.0 </t>
  </si>
  <si>
    <t xml:space="preserve">Mahindra &amp; Mahindra Ltd Ordinary INR 5.0 </t>
  </si>
  <si>
    <t xml:space="preserve">Marico Ltd Ordinary INR 1.0 </t>
  </si>
  <si>
    <t xml:space="preserve">Maruti Suzuki India Ltd Ordinary INR 5.0 </t>
  </si>
  <si>
    <t xml:space="preserve">Max Financial Services Ltd Ordinary INR 2.0 </t>
  </si>
  <si>
    <t xml:space="preserve">Mindtree Ltd Ordinary INR 10.0 </t>
  </si>
  <si>
    <t xml:space="preserve">Motherson Sumi Systems Ltd Ordinary INR 1.0 </t>
  </si>
  <si>
    <t xml:space="preserve">Mphasis Ltd Ordinary INR 10.0 </t>
  </si>
  <si>
    <t xml:space="preserve">Muthoot Finance Ltd Ordinary INR 10.0 </t>
  </si>
  <si>
    <t xml:space="preserve">NHPC Ltd Ordinary INR 10.0 </t>
  </si>
  <si>
    <t xml:space="preserve">NMDC Ltd Ordinary INR 1.0 </t>
  </si>
  <si>
    <t xml:space="preserve">NTPC Ltd Ordinary INR 10.0 </t>
  </si>
  <si>
    <t xml:space="preserve">Nestle India Ltd Ordinary INR 10.0 </t>
  </si>
  <si>
    <t xml:space="preserve">Nippon Life India Asset Mgt Lt Ordinary INR 10.0 </t>
  </si>
  <si>
    <t xml:space="preserve">Oberoi Realty Ltd Ordinary INR 10.0 </t>
  </si>
  <si>
    <t xml:space="preserve">Oil &amp; Natural Gas Corp Ltd Ordinary INR 5.0 </t>
  </si>
  <si>
    <t xml:space="preserve">Oil India Ltd Ordinary INR 10.0 </t>
  </si>
  <si>
    <t xml:space="preserve">Oracle Financial Services Soft Ordinary INR 5.0 </t>
  </si>
  <si>
    <t xml:space="preserve">PI Industries Ltd Ordinary INR 1.0 </t>
  </si>
  <si>
    <t xml:space="preserve">Page Industries Ltd Ordinary INR 10.0 </t>
  </si>
  <si>
    <t xml:space="preserve">Petronet LNG Ltd Ordinary INR 10.0 </t>
  </si>
  <si>
    <t xml:space="preserve">Pidilite Industries Ltd Ordinary INR 1.0 </t>
  </si>
  <si>
    <t xml:space="preserve">Piramal Enterprises Ltd Ordinary INR 2.0 </t>
  </si>
  <si>
    <t xml:space="preserve">Power Finance Corp Ltd Ordinary INR 10.0 </t>
  </si>
  <si>
    <t xml:space="preserve">Power Grid Corp of India Ltd Ordinary INR 10.0 </t>
  </si>
  <si>
    <t xml:space="preserve">Punjab National Bk Ordinary INR 2.0 </t>
  </si>
  <si>
    <t xml:space="preserve">RBL Bk Ltd Ordinary INR 10.0 </t>
  </si>
  <si>
    <t xml:space="preserve">REC Ltd Ordinary INR 10.0 </t>
  </si>
  <si>
    <t xml:space="preserve">Rajesh Exports Ltd Ordinary INR 1.0 </t>
  </si>
  <si>
    <t xml:space="preserve">Reliance Industries Ltd Ordinary INR 10.0 </t>
  </si>
  <si>
    <t xml:space="preserve">SBI Cards &amp; Payment Services L Ordinary INR 10.0 </t>
  </si>
  <si>
    <t xml:space="preserve">SBI Life Insurance Co Ltd Ordinary INR 10.0 </t>
  </si>
  <si>
    <t xml:space="preserve">SRF Ltd Ordinary INR 10.0 </t>
  </si>
  <si>
    <t xml:space="preserve">Shree Cement Ltd Ordinary INR 10.0 </t>
  </si>
  <si>
    <t xml:space="preserve">Shriram Transport Finance Co L Ordinary INR 10.0 </t>
  </si>
  <si>
    <t xml:space="preserve">Siemens Ltd Ordinary INR 2.0 </t>
  </si>
  <si>
    <t xml:space="preserve">Sona Blw Precision Forgings Lt Ordinary INR </t>
  </si>
  <si>
    <t xml:space="preserve">State Bk of India Ordinary INR 1.0 </t>
  </si>
  <si>
    <t xml:space="preserve">Steel Authority of India Ltd Ordinary INR 10.0 </t>
  </si>
  <si>
    <t xml:space="preserve">Sun Pharmaceutical Industries Ordinary INR 1.0 </t>
  </si>
  <si>
    <t xml:space="preserve">Sun TV Network Ltd Ordinary INR 5.0 </t>
  </si>
  <si>
    <t xml:space="preserve">Sundaram Finance Ltd Ordinary INR 10.0 </t>
  </si>
  <si>
    <t xml:space="preserve">TVS Motor Co Ltd Ordinary INR 1.0 </t>
  </si>
  <si>
    <t xml:space="preserve">Tata Communications Ltd Ordinary INR 10.0 </t>
  </si>
  <si>
    <t xml:space="preserve">Tata Consultancy Services Ltd Ordinary INR 1.0 </t>
  </si>
  <si>
    <t xml:space="preserve">Tata Consumer Products Ltd Ordinary INR 1.0 </t>
  </si>
  <si>
    <t xml:space="preserve">Tata Motors Ltd Ordinary INR 2.0 </t>
  </si>
  <si>
    <t xml:space="preserve">Tata Power Co Ltd/The Ordinary INR 1.0 </t>
  </si>
  <si>
    <t xml:space="preserve">Tata Steel Ltd Ordinary INR 10.0 </t>
  </si>
  <si>
    <t xml:space="preserve">Tech Mahindra Ltd Ordinary INR 5.0 </t>
  </si>
  <si>
    <t xml:space="preserve">Titan Co Ltd Ordinary INR 1.0 </t>
  </si>
  <si>
    <t xml:space="preserve">Torrent Pharmaceuticals Ltd Ordinary INR 5.0 </t>
  </si>
  <si>
    <t xml:space="preserve">Torrent Power Ltd Ordinary INR 10.0 </t>
  </si>
  <si>
    <t xml:space="preserve">Trent Ltd Ordinary INR 1.0 </t>
  </si>
  <si>
    <t xml:space="preserve">UPL Ltd Ordinary INR 2.0 </t>
  </si>
  <si>
    <t xml:space="preserve">UltraTech Cement Ltd Ordinary INR 10.0 </t>
  </si>
  <si>
    <t xml:space="preserve">Union Bk of India Ltd Ordinary INR 10.0 </t>
  </si>
  <si>
    <t xml:space="preserve">Utd Breweries Ltd Ordinary INR 1.0 </t>
  </si>
  <si>
    <t xml:space="preserve">Utd Spirits Ltd Ordinary INR 2.0 </t>
  </si>
  <si>
    <t xml:space="preserve">Varun Beverages Ltd Ordinary INR 10.0 </t>
  </si>
  <si>
    <t xml:space="preserve">Vedanta Ltd Ordinary INR 1.0 </t>
  </si>
  <si>
    <t xml:space="preserve">Vodafone Idea Ltd Ordinary INR 10.0 </t>
  </si>
  <si>
    <t xml:space="preserve">Voltas Ltd Ordinary INR 1.0 </t>
  </si>
  <si>
    <t xml:space="preserve">Whirlpool of India Ltd Ordinary INR 10.0 </t>
  </si>
  <si>
    <t xml:space="preserve">Wipro Ltd Ordinary INR 2.0 </t>
  </si>
  <si>
    <t xml:space="preserve">Yes Bk Ltd Ordinary INR 2.0 </t>
  </si>
  <si>
    <t xml:space="preserve">Zee Entertainment Enterprises Ordinary INR 1.0 </t>
  </si>
  <si>
    <t xml:space="preserve">Zomato Ltd Ordinary INR 1.0 </t>
  </si>
  <si>
    <t xml:space="preserve">                                                               </t>
  </si>
  <si>
    <t xml:space="preserve">Agility Pub Warehousing Co KSC Ordinary KWD 100.0 </t>
  </si>
  <si>
    <t>KWD</t>
  </si>
  <si>
    <t xml:space="preserve">Ahli Utd Bk BSC Ordinary KWD 0.25 </t>
  </si>
  <si>
    <t xml:space="preserve">Boubyan Bk KSCP Ordinary KWD 100.0 </t>
  </si>
  <si>
    <t xml:space="preserve">Boubyan Petrochemicals Co KSCP Ordinary KWD 100.0 </t>
  </si>
  <si>
    <t xml:space="preserve">Burgan Bk SAK Ordinary KWD 100.0 </t>
  </si>
  <si>
    <t xml:space="preserve">Gulf Bk KSCP Ordinary KWD 100.0 </t>
  </si>
  <si>
    <t xml:space="preserve">Humansoft Holding Co KSC Ordinary KWD 100.0 </t>
  </si>
  <si>
    <t xml:space="preserve">Kuwait Finance House KSCP Ordinary KWD 0.1 </t>
  </si>
  <si>
    <t xml:space="preserve">Mabanee Co KPSC Ordinary KWD 100.0 </t>
  </si>
  <si>
    <t xml:space="preserve">Mobile Telecommunications Co K Ordinary KWD 100.0 </t>
  </si>
  <si>
    <t xml:space="preserve">National Bk of Kuwait SAKP Ordinary KWD 100.0 </t>
  </si>
  <si>
    <t xml:space="preserve">Alfa SAB de CV Ordinary MXN 0E-14 </t>
  </si>
  <si>
    <t>MXN</t>
  </si>
  <si>
    <t xml:space="preserve">America Movil SAB de CV Ordinary MXN </t>
  </si>
  <si>
    <t xml:space="preserve">Arca Continental SAB de CV Ordinary MXN </t>
  </si>
  <si>
    <t xml:space="preserve">Becle SAB de CV Ordinary MXN </t>
  </si>
  <si>
    <t xml:space="preserve">Cemex SAB de CV Unit MXN </t>
  </si>
  <si>
    <t xml:space="preserve">Coca-Cola Femsa SAB de CV Unit MXN </t>
  </si>
  <si>
    <t xml:space="preserve">Concentradora Fibra Danhos SA REIT MXN </t>
  </si>
  <si>
    <t xml:space="preserve">Controladora Vuela Cia de Avia Ordinary MXN </t>
  </si>
  <si>
    <t xml:space="preserve">El Puerto de Liverpool SAB de Ordinary MXN </t>
  </si>
  <si>
    <t xml:space="preserve">Fibra Uno Administracion SA de REIT MXN </t>
  </si>
  <si>
    <t xml:space="preserve">Fomento Economico Mexicano SAB Unit MXN </t>
  </si>
  <si>
    <t xml:space="preserve">GCC SAB de CV Ordinary MXN </t>
  </si>
  <si>
    <t xml:space="preserve">Gruma SAB de CV Ordinary MXN </t>
  </si>
  <si>
    <t xml:space="preserve">Grupo Aeroportuario del Centro Ordinary MXN </t>
  </si>
  <si>
    <t xml:space="preserve">Grupo Aeroportuario del Pacifi Ordinary MXN </t>
  </si>
  <si>
    <t xml:space="preserve">Grupo Aeroportuario del Surest Ordinary MXN </t>
  </si>
  <si>
    <t xml:space="preserve">Grupo Bimbo SAB de CV Ordinary MXN </t>
  </si>
  <si>
    <t xml:space="preserve">Grupo Carso SAB de CV Ordinary MXN </t>
  </si>
  <si>
    <t xml:space="preserve">Grupo Elektra SAB DE CV Ordinary MXN </t>
  </si>
  <si>
    <t xml:space="preserve">Grupo Financiero Banorte SAB d Ordinary MXN 3.5 </t>
  </si>
  <si>
    <t xml:space="preserve">Grupo Financiero Inbursa SAB d Ordinary MXN 0.4137108 </t>
  </si>
  <si>
    <t xml:space="preserve">Grupo Mexico SAB de CV Ordinary MXN </t>
  </si>
  <si>
    <t xml:space="preserve">Grupo Televisa SAB Unit MXN </t>
  </si>
  <si>
    <t xml:space="preserve">Industrias Bachoco SAB de CV Ordinary MXN </t>
  </si>
  <si>
    <t xml:space="preserve">Industrias Penoles SAB de CV Ordinary MXN </t>
  </si>
  <si>
    <t xml:space="preserve">Kimberly-Clark de Mexico SAB d Ordinary MXN </t>
  </si>
  <si>
    <t xml:space="preserve">Megacable Holdings SAB de CV Unit MXN </t>
  </si>
  <si>
    <t xml:space="preserve">Orbia Advance Corp SAB de CV Ordinary MXN </t>
  </si>
  <si>
    <t xml:space="preserve">Promotora y Operadora de Infra Ordinary MXN </t>
  </si>
  <si>
    <t xml:space="preserve">Qualitas Controladora SAB de C Ordinary MXN </t>
  </si>
  <si>
    <t xml:space="preserve">Telesites SAB de CV Ordinary MXN </t>
  </si>
  <si>
    <t xml:space="preserve">Wal-Mart de Mexico SAB de CV Ordinary MXN </t>
  </si>
  <si>
    <t xml:space="preserve">AMMB Holdings Bhd Ordinary MYR </t>
  </si>
  <si>
    <t>MYR</t>
  </si>
  <si>
    <t xml:space="preserve">Alliance Bk Malaysia Bhd Ordinary MYR </t>
  </si>
  <si>
    <t xml:space="preserve">Astro Malaysia Holdings Bhd Ordinary MYR 0.1 </t>
  </si>
  <si>
    <t xml:space="preserve">Axiata Group Bhd Ordinary MYR </t>
  </si>
  <si>
    <t xml:space="preserve">CIMB Group Holdings Bhd Ordinary MYR </t>
  </si>
  <si>
    <t xml:space="preserve">DiGi.Com Bhd Ordinary MYR 0.01 </t>
  </si>
  <si>
    <t xml:space="preserve">Dialog Group Bhd Ordinary MYR </t>
  </si>
  <si>
    <t xml:space="preserve">Fraser &amp; Neave Holdings Bhd Ordinary MYR 1.0 </t>
  </si>
  <si>
    <t xml:space="preserve">Gamuda Bhd Ordinary MYR 1.0 </t>
  </si>
  <si>
    <t xml:space="preserve">Genting Bhd Ordinary MYR 0.1 </t>
  </si>
  <si>
    <t xml:space="preserve">Genting Malaysia Bhd Ordinary MYR </t>
  </si>
  <si>
    <t xml:space="preserve">HAP Seng Consolidated Bhd Ordinary MYR 1.0 </t>
  </si>
  <si>
    <t xml:space="preserve">Hartalega Holdings Bhd Ordinary MYR </t>
  </si>
  <si>
    <t xml:space="preserve">Hong Leong Bk Bhd Ordinary MYR 1.0 </t>
  </si>
  <si>
    <t xml:space="preserve">Hong Leong Financial Group Bhd Ordinary MYR 1.0 </t>
  </si>
  <si>
    <t xml:space="preserve">IHH Healthcare Bhd Ordinary MYR </t>
  </si>
  <si>
    <t xml:space="preserve">IJM Corp Bhd Ordinary MYR </t>
  </si>
  <si>
    <t xml:space="preserve">IOI Corp Bhd Ordinary MYR </t>
  </si>
  <si>
    <t xml:space="preserve">IOI Properties Group Bhd Ordinary MYR 1.0 </t>
  </si>
  <si>
    <t xml:space="preserve">Kuala Lumpur Kepong Bhd Ordinary MYR </t>
  </si>
  <si>
    <t xml:space="preserve">MISC Bhd Ordinary MYR 1.0 </t>
  </si>
  <si>
    <t xml:space="preserve">MR DIY Group M Bhd Ordinary MYR </t>
  </si>
  <si>
    <t xml:space="preserve">Malayan Bking Bhd Ordinary MYR </t>
  </si>
  <si>
    <t xml:space="preserve">Malaysia Airports Holdings Bhd Ordinary MYR 1.0 </t>
  </si>
  <si>
    <t xml:space="preserve">Maxis Bhd Ordinary MYR </t>
  </si>
  <si>
    <t xml:space="preserve">Nestle Malaysia Bhd Ordinary MYR 1.0 </t>
  </si>
  <si>
    <t xml:space="preserve">PPB Group Bhd Ordinary MYR 1.0 </t>
  </si>
  <si>
    <t xml:space="preserve">Petronas Chemicals Group Bhd Ordinary MYR 0.1 </t>
  </si>
  <si>
    <t xml:space="preserve">Petronas Dagangan Bhd Ordinary MYR 1.0 </t>
  </si>
  <si>
    <t xml:space="preserve">Petronas Gas Bhd Ordinary MYR 1.0 </t>
  </si>
  <si>
    <t xml:space="preserve">Press Metal Aluminium Holdings Ordinary MYR </t>
  </si>
  <si>
    <t xml:space="preserve">Pub Bk Bhd Ordinary MYR 1.0 </t>
  </si>
  <si>
    <t xml:space="preserve">QL Resources Bhd Ordinary MYR 0.25 </t>
  </si>
  <si>
    <t xml:space="preserve">RHB Bk Bhd Ordinary MYR </t>
  </si>
  <si>
    <t xml:space="preserve">Sime Darby Bhd Ordinary MYR </t>
  </si>
  <si>
    <t xml:space="preserve">Sime Darby Plantation Bhd Ordinary MYR </t>
  </si>
  <si>
    <t xml:space="preserve">Sime Darby Property Bhd Ordinary MYR 0.5 </t>
  </si>
  <si>
    <t xml:space="preserve">Supermax Corp Bhd Ordinary MYR </t>
  </si>
  <si>
    <t xml:space="preserve">Telekom Malaysia Bhd Ordinary MYR 0.7 </t>
  </si>
  <si>
    <t xml:space="preserve">Tenaga Nasional Bhd Ordinary MYR </t>
  </si>
  <si>
    <t xml:space="preserve">Top Glove Corp Bhd Ordinary MYR </t>
  </si>
  <si>
    <t xml:space="preserve">Westports Holdings Bhd Ordinary MYR 0.1 </t>
  </si>
  <si>
    <t xml:space="preserve">YTL Corp Bhd Ordinary MYR 0.1 </t>
  </si>
  <si>
    <t xml:space="preserve">                                                                      </t>
  </si>
  <si>
    <t>PEN</t>
  </si>
  <si>
    <t xml:space="preserve">Aboitiz Power Corp Ordinary PHP 1.0 </t>
  </si>
  <si>
    <t>PHP</t>
  </si>
  <si>
    <t xml:space="preserve">Alliance Global Group Inc Ordinary PHP 1.0 </t>
  </si>
  <si>
    <t xml:space="preserve">Ayala Corp Ordinary PHP 50.0 </t>
  </si>
  <si>
    <t xml:space="preserve">Ayala Land Inc Ordinary PHP 1.0 </t>
  </si>
  <si>
    <t xml:space="preserve">BDO Unibank Inc Ordinary PHP 10.0 </t>
  </si>
  <si>
    <t xml:space="preserve">Bk of the Philippine Islands Ordinary PHP 10.0 </t>
  </si>
  <si>
    <t xml:space="preserve">Bloomberry Resorts Corp Ordinary PHP 1.0 </t>
  </si>
  <si>
    <t xml:space="preserve">DMCI Holdings Inc Ordinary PHP 1.0 </t>
  </si>
  <si>
    <t xml:space="preserve">GT Capital Holdings Inc Ordinary PHP 10.0 </t>
  </si>
  <si>
    <t xml:space="preserve">Globe Telecom Inc Ordinary PHP 50.0 </t>
  </si>
  <si>
    <t xml:space="preserve">Intl Container Terminal Servic Ordinary PHP 1.0 </t>
  </si>
  <si>
    <t xml:space="preserve">JG Summit Holdings Inc Ordinary PHP 1.0 </t>
  </si>
  <si>
    <t xml:space="preserve">Jollibee Foods Corp Ordinary PHP 1.0 </t>
  </si>
  <si>
    <t xml:space="preserve">LT Group Inc Ordinary PHP 1.0 </t>
  </si>
  <si>
    <t xml:space="preserve">Manila Electric Co Ordinary PHP 10.0 </t>
  </si>
  <si>
    <t xml:space="preserve">Megaworld Corp Ordinary PHP 1.0 </t>
  </si>
  <si>
    <t xml:space="preserve">Metro Pacific Investments Corp Ordinary PHP 1.0 </t>
  </si>
  <si>
    <t xml:space="preserve">Metropolitan Bk &amp; Tst Co Ordinary PHP 20.0 </t>
  </si>
  <si>
    <t xml:space="preserve">Monde Nissin Corp Ordinary PHP 0.5 </t>
  </si>
  <si>
    <t xml:space="preserve">PLDT Inc Ordinary PHP 5.0 </t>
  </si>
  <si>
    <t xml:space="preserve">Puregold Price Club Inc Ordinary PHP 1.0 </t>
  </si>
  <si>
    <t xml:space="preserve">SM Investments Corp Ordinary PHP 10.0 </t>
  </si>
  <si>
    <t xml:space="preserve">SM Prime Holdings Inc Ordinary PHP 1.0 </t>
  </si>
  <si>
    <t xml:space="preserve">San Miguel Corp Ordinary PHP 5.0 </t>
  </si>
  <si>
    <t xml:space="preserve">San Miguel Food and Beverage I Ordinary PHP 1.0 </t>
  </si>
  <si>
    <t xml:space="preserve">Semirara Mining &amp; Power Corp Ordinary PHP 1.0 </t>
  </si>
  <si>
    <t xml:space="preserve">Universal Robina Corp Ordinary PHP 1.0 </t>
  </si>
  <si>
    <t xml:space="preserve">                                                                                  </t>
  </si>
  <si>
    <t xml:space="preserve">Habib Bk Ltd Ordinary PKR 10.0 </t>
  </si>
  <si>
    <t>PKR</t>
  </si>
  <si>
    <t xml:space="preserve">Oil &amp; Gas Development Co Ltd Ordinary PKR 10.0 </t>
  </si>
  <si>
    <t xml:space="preserve">Pakistan Pet Ltd Ordinary PKR 10.0 </t>
  </si>
  <si>
    <t xml:space="preserve">                                                                                 </t>
  </si>
  <si>
    <t>PLN</t>
  </si>
  <si>
    <t xml:space="preserve">                                                                               </t>
  </si>
  <si>
    <t xml:space="preserve">Barwa Real Estate Co Ordinary QAR 1.0 </t>
  </si>
  <si>
    <t>QAR</t>
  </si>
  <si>
    <t xml:space="preserve">Commercial Bk PSQC/The Ordinary QAR 1.0 </t>
  </si>
  <si>
    <t xml:space="preserve">Doha Bk QPSC Ordinary QAR 1.0 </t>
  </si>
  <si>
    <t xml:space="preserve">Ezdan Holding Group QSC Ordinary QAR 1.0 </t>
  </si>
  <si>
    <t xml:space="preserve">Industries Qatar QSC Ordinary QAR 1.0 </t>
  </si>
  <si>
    <t xml:space="preserve">Masraf Al Rayan QSC Ordinary QAR 1.0 </t>
  </si>
  <si>
    <t xml:space="preserve">Mesaieed Petrochemical Holding Ordinary QAR 10.0 </t>
  </si>
  <si>
    <t xml:space="preserve">Ooredoo QPSC Ordinary QAR 1.0 </t>
  </si>
  <si>
    <t xml:space="preserve">Qatar Aluminum Manufacturing C Ordinary QAR 1.0 </t>
  </si>
  <si>
    <t xml:space="preserve">Qatar Electricity &amp; Water Co Q Ordinary QAR 1.0 </t>
  </si>
  <si>
    <t xml:space="preserve">Qatar Fuel QSC Ordinary QAR 1.0 </t>
  </si>
  <si>
    <t xml:space="preserve">Qatar Gas Transport Co Ltd Ordinary QAR 1.0 </t>
  </si>
  <si>
    <t xml:space="preserve">Qatar Insurance Co SAQ Ordinary QAR 1.0 </t>
  </si>
  <si>
    <t xml:space="preserve">Qatar Intl Islamic Bk QSC Ordinary QAR 10.0 </t>
  </si>
  <si>
    <t xml:space="preserve">Qatar Islamic Bk SAQ Ordinary QAR 1.0 </t>
  </si>
  <si>
    <t xml:space="preserve">Qatar National Bk QPSC Ordinary QAR 1.0 </t>
  </si>
  <si>
    <t xml:space="preserve">Utd Development Co QSC Ordinary QAR 1.0 </t>
  </si>
  <si>
    <t xml:space="preserve">Vodafone Qatar QSC Ordinary QAR 1.0 </t>
  </si>
  <si>
    <t xml:space="preserve">                                                                         </t>
  </si>
  <si>
    <t xml:space="preserve">Banca Transilvania SA Ordinary RON 1.0 </t>
  </si>
  <si>
    <t>RON</t>
  </si>
  <si>
    <t>RUB</t>
  </si>
  <si>
    <t xml:space="preserve">                                                                           </t>
  </si>
  <si>
    <t xml:space="preserve">Abdullah Al Othaim Markets Co Ordinary SAR 10.0 </t>
  </si>
  <si>
    <t>SAR</t>
  </si>
  <si>
    <t xml:space="preserve">Advanced Petrochemical Co Ordinary SAR 10.0 </t>
  </si>
  <si>
    <t xml:space="preserve">Al Rajhi Bk Ordinary SAR 10.0 </t>
  </si>
  <si>
    <t xml:space="preserve">Alinma Bk Ordinary SAR 10.0 </t>
  </si>
  <si>
    <t xml:space="preserve">Almarai Co JSC Ordinary SAR 10.0 </t>
  </si>
  <si>
    <t xml:space="preserve">Arab National Bk Ordinary SAR 10.0 </t>
  </si>
  <si>
    <t xml:space="preserve">Arabian Centres Co Ltd Ordinary SAR 10.0 </t>
  </si>
  <si>
    <t xml:space="preserve">Banque Saudi Fransi Ordinary SAR 10.0 </t>
  </si>
  <si>
    <t xml:space="preserve">Bk Al-Jazira Ordinary SAR 10.0 </t>
  </si>
  <si>
    <t xml:space="preserve">Bk AlBilad Ordinary SAR 10.0 </t>
  </si>
  <si>
    <t xml:space="preserve">Bupa Arabia for Cooperative In Ordinary SAR 10.0 </t>
  </si>
  <si>
    <t xml:space="preserve">Co for Cooperative Insurance/T Ordinary SAR 10.0 </t>
  </si>
  <si>
    <t xml:space="preserve">Dallah Healthcare Co Ordinary SAR 10.0 </t>
  </si>
  <si>
    <t xml:space="preserve">Dar Al Arkan Real Estate Devel Ordinary SAR 10.0 </t>
  </si>
  <si>
    <t xml:space="preserve">Dr Sulaiman Al Habib Medical S Ordinary SAR 10.0 </t>
  </si>
  <si>
    <t xml:space="preserve">Emaar Economic City Ordinary SAR 10.0 </t>
  </si>
  <si>
    <t xml:space="preserve">Etihad Etisalat Co Ordinary SAR 10.0 </t>
  </si>
  <si>
    <t xml:space="preserve">Intl Co For Water &amp; Power Proj Ordinary SAR 10.0 </t>
  </si>
  <si>
    <t xml:space="preserve">Jarir Marketing Co Ordinary SAR 10.0 </t>
  </si>
  <si>
    <t xml:space="preserve">Mobile Telecommunications Co S Ordinary SAR 10.0 </t>
  </si>
  <si>
    <t xml:space="preserve">Mouwasat Medical Services Co Ordinary SAR 10.0 </t>
  </si>
  <si>
    <t xml:space="preserve">National Industrialization Co Ordinary SAR 10.0 </t>
  </si>
  <si>
    <t xml:space="preserve">National Petrochemical Co Ordinary SAR 10.0 </t>
  </si>
  <si>
    <t xml:space="preserve">Qassim Cement Co/The Ordinary SAR 10.0 </t>
  </si>
  <si>
    <t xml:space="preserve">Rabigh Refining &amp; Petrochemica Ordinary SAR 10.0 </t>
  </si>
  <si>
    <t xml:space="preserve">Riyad Bk Ordinary SAR 10.0 </t>
  </si>
  <si>
    <t xml:space="preserve">SABIC Agri-Nutrients Co Ordinary SAR 10.0 </t>
  </si>
  <si>
    <t xml:space="preserve">Sahara Intl Petrochemical Co Ordinary SAR 10.0 </t>
  </si>
  <si>
    <t xml:space="preserve">Saudi Airlines Catering Co Ordinary SAR </t>
  </si>
  <si>
    <t xml:space="preserve">Saudi Arabian Mining Co Ordinary SAR 10.0 </t>
  </si>
  <si>
    <t xml:space="preserve">Saudi Arabian Oil Co Ordinary SAR </t>
  </si>
  <si>
    <t xml:space="preserve">Saudi Basic Industries Corp Ordinary SAR 10.0 </t>
  </si>
  <si>
    <t xml:space="preserve">Saudi Brit Bk/The Ordinary SAR 10.0 </t>
  </si>
  <si>
    <t xml:space="preserve">Saudi Cement Co Ordinary SAR 10.0 </t>
  </si>
  <si>
    <t xml:space="preserve">Saudi Electricity Co Ordinary SAR 10.0 </t>
  </si>
  <si>
    <t xml:space="preserve">Saudi Ground Services Co Ordinary SAR 10.0 </t>
  </si>
  <si>
    <t xml:space="preserve">Saudi Industrial Investment Gr Ordinary SAR 10.0 </t>
  </si>
  <si>
    <t xml:space="preserve">Saudi Kayan Petrochemical Co Ordinary SAR 10.0 </t>
  </si>
  <si>
    <t xml:space="preserve">Saudi National Bk/The Ordinary SAR 10.0 </t>
  </si>
  <si>
    <t xml:space="preserve">Saudi Research &amp; Media Group Ordinary SAR 10.0 </t>
  </si>
  <si>
    <t xml:space="preserve">Saudi Telecom Co Ordinary SAR 10.0 </t>
  </si>
  <si>
    <t xml:space="preserve">Saudia Dairy &amp; Foodstuff Co Ordinary SAR 10.0 </t>
  </si>
  <si>
    <t xml:space="preserve">Savola Group/The Ordinary SAR 10.0 </t>
  </si>
  <si>
    <t xml:space="preserve">Seera Group Holding Ordinary SAR 10.0 </t>
  </si>
  <si>
    <t xml:space="preserve">Southern Province Cement Co Ordinary SAR 10.0 </t>
  </si>
  <si>
    <t xml:space="preserve">Yanbu Cement Co Ordinary SAR 10.0 </t>
  </si>
  <si>
    <t xml:space="preserve">Yanbu National Petrochemical C Ordinary SAR 10.0 </t>
  </si>
  <si>
    <t xml:space="preserve">                                                                                            </t>
  </si>
  <si>
    <t xml:space="preserve">Yangzijiang Shipbuilding Holdi Ordinary SGD </t>
  </si>
  <si>
    <t>SGD</t>
  </si>
  <si>
    <t xml:space="preserve">Yanlord Land Group Ltd Ordinary SGD </t>
  </si>
  <si>
    <t xml:space="preserve">Advanced Info Service PCL Foreign Shares THB </t>
  </si>
  <si>
    <t>THB</t>
  </si>
  <si>
    <t xml:space="preserve">Airports of Thailand PCL Foreign Shares THB </t>
  </si>
  <si>
    <t xml:space="preserve">Airports of Thailand PCL NVDR THB </t>
  </si>
  <si>
    <t xml:space="preserve">Asset World Corp PCL NVDR THB </t>
  </si>
  <si>
    <t xml:space="preserve">B Grimm Power PCL NVDR THB </t>
  </si>
  <si>
    <t xml:space="preserve">BTS Group Holdings PCL NVDR THB </t>
  </si>
  <si>
    <t xml:space="preserve">Bangkok Bk PCL Foreign Shares THB </t>
  </si>
  <si>
    <t xml:space="preserve">Bangkok Bk PCL NVDR THB </t>
  </si>
  <si>
    <t xml:space="preserve">Bangkok Dusit Medical Services Foreign Shares THB </t>
  </si>
  <si>
    <t xml:space="preserve">Bangkok Dusit Medical Services NVDR THB </t>
  </si>
  <si>
    <t xml:space="preserve">Bangkok Expressway &amp; Metro PCL NVDR THB </t>
  </si>
  <si>
    <t xml:space="preserve">Bangkok Life Assurance PCL NVDR THB </t>
  </si>
  <si>
    <t xml:space="preserve">Banpu PCL Foreign Shares THB </t>
  </si>
  <si>
    <t xml:space="preserve">Banpu PCL NVDR THB </t>
  </si>
  <si>
    <t xml:space="preserve">Berli Jucker PCL Foreign Shares THB </t>
  </si>
  <si>
    <t xml:space="preserve">Berli Jucker PCL NVDR THB </t>
  </si>
  <si>
    <t xml:space="preserve">Bumrungrad Hospital PCL NVDR THB </t>
  </si>
  <si>
    <t xml:space="preserve">CP ALL PCL Foreign Shares THB </t>
  </si>
  <si>
    <t xml:space="preserve">CP ALL PCL NVDR THB </t>
  </si>
  <si>
    <t xml:space="preserve">Carabao Group PCL NVDR THB </t>
  </si>
  <si>
    <t xml:space="preserve">Central Pattana PCL Foreign Shares THB </t>
  </si>
  <si>
    <t xml:space="preserve">Central Pattana PCL NVDR THB </t>
  </si>
  <si>
    <t xml:space="preserve">Central Retail Corp PCL NVDR THB </t>
  </si>
  <si>
    <t xml:space="preserve">Charoen Pokphand Foods PCL Foreign Shares THB </t>
  </si>
  <si>
    <t xml:space="preserve">Delta Electronics Thailand PCL NVDR THB </t>
  </si>
  <si>
    <t xml:space="preserve">Digital Telecommunications Inf Unit THB </t>
  </si>
  <si>
    <t xml:space="preserve">Electricity Generating PCL NVDR THB </t>
  </si>
  <si>
    <t xml:space="preserve">Energy Absolute PCL NVDR THB </t>
  </si>
  <si>
    <t xml:space="preserve">Global Power Synergy PCL NVDR THB </t>
  </si>
  <si>
    <t xml:space="preserve">Gulf Energy Development PCL NVDR THB </t>
  </si>
  <si>
    <t xml:space="preserve">Home Product Center PCL NVDR THB </t>
  </si>
  <si>
    <t xml:space="preserve">IRPC PCL Foreign Shares THB </t>
  </si>
  <si>
    <t xml:space="preserve">IRPC PCL NVDR THB </t>
  </si>
  <si>
    <t xml:space="preserve">Indorama Ventures PCL Foreign Shares THB </t>
  </si>
  <si>
    <t xml:space="preserve">Intouch Holdings PCL NVDR THB </t>
  </si>
  <si>
    <t xml:space="preserve">Kasikornbank PCL Foreign Shares THB </t>
  </si>
  <si>
    <t xml:space="preserve">Kasikornbank PCL NVDR THB </t>
  </si>
  <si>
    <t xml:space="preserve">Krung Thai Bk PCL Foreign Shares THB </t>
  </si>
  <si>
    <t xml:space="preserve">Krung Thai Bk PCL NVDR THB </t>
  </si>
  <si>
    <t xml:space="preserve">Krungthai Card PCL NVDR THB </t>
  </si>
  <si>
    <t xml:space="preserve">Land &amp; Houses PCL Receipt THB </t>
  </si>
  <si>
    <t xml:space="preserve">Minor Intl PCL NVDR THB </t>
  </si>
  <si>
    <t xml:space="preserve">Muangthai Capital PCL NVDR THB </t>
  </si>
  <si>
    <t xml:space="preserve">Osotspa PCL NVDR THB </t>
  </si>
  <si>
    <t xml:space="preserve">PTT Exploration &amp; Production P Foreign Shares THB </t>
  </si>
  <si>
    <t xml:space="preserve">PTT Exploration &amp; Production P NVDR THB </t>
  </si>
  <si>
    <t xml:space="preserve">PTT Global Chemical PCL Foreign Shares THB </t>
  </si>
  <si>
    <t xml:space="preserve">PTT Global Chemical PCL NVDR THB </t>
  </si>
  <si>
    <t xml:space="preserve">PTT Oil &amp; Retail Bus PCL Foreign Shares THB </t>
  </si>
  <si>
    <t xml:space="preserve">PTT PCL Foreign Shares THB </t>
  </si>
  <si>
    <t xml:space="preserve">PTT PCL NVDR THB </t>
  </si>
  <si>
    <t xml:space="preserve">Ratch Group PCL Foreign Shares THB </t>
  </si>
  <si>
    <t xml:space="preserve">SCG Packaging PCL Foreign Shares THB </t>
  </si>
  <si>
    <t xml:space="preserve">Siam Cement PCL/The Foreign Shares THB </t>
  </si>
  <si>
    <t xml:space="preserve">Siam Cement PCL/The NVDR THB </t>
  </si>
  <si>
    <t xml:space="preserve">Siam City Cement PCL NVDR THB </t>
  </si>
  <si>
    <t xml:space="preserve">Siam Commercial Bk PCL/The Foreign Shares THB </t>
  </si>
  <si>
    <t xml:space="preserve">Siam Commercial Bk PCL/The NVDR THB </t>
  </si>
  <si>
    <t xml:space="preserve">Siam Makro PCL NVDR THB </t>
  </si>
  <si>
    <t xml:space="preserve">Sri Trang Gloves Thailand PCL Foreign Shares THB </t>
  </si>
  <si>
    <t xml:space="preserve">Srisawad Corp PCL NVDR THB </t>
  </si>
  <si>
    <t xml:space="preserve">TMBThanachart Bk PCL Foreign Shares THB </t>
  </si>
  <si>
    <t xml:space="preserve">TMBThanachart Bk PCL NVDR THB </t>
  </si>
  <si>
    <t xml:space="preserve">Thai Oil PCL Foreign Shares THB </t>
  </si>
  <si>
    <t xml:space="preserve">Thai Oil PCL NVDR THB </t>
  </si>
  <si>
    <t xml:space="preserve">Thai Union Group PCL Foreign Shares THB </t>
  </si>
  <si>
    <t xml:space="preserve">Thai Union Group PCL NVDR THB </t>
  </si>
  <si>
    <t xml:space="preserve">Total Access Communication PCL NVDR THB </t>
  </si>
  <si>
    <t xml:space="preserve">True Corp PCL NVDR THB </t>
  </si>
  <si>
    <t xml:space="preserve">                                                              </t>
  </si>
  <si>
    <t xml:space="preserve">Akbank TAS Ordinary TRY 1.0 </t>
  </si>
  <si>
    <t>TRY</t>
  </si>
  <si>
    <t xml:space="preserve">Anadolu Efes Biracilik Ve Malt Ordinary TRY 1.0 </t>
  </si>
  <si>
    <t xml:space="preserve">Arcelik AS Ordinary TRY 1.0 </t>
  </si>
  <si>
    <t xml:space="preserve">Aselsan Elektronik Sanayi Ve T Ordinary TRY 1.0 </t>
  </si>
  <si>
    <t xml:space="preserve">BIM Birlesik Magazalar AS Ordinary TRY 1.0 </t>
  </si>
  <si>
    <t xml:space="preserve">Coca-Cola Icecek AS Ordinary TRY 1.0 </t>
  </si>
  <si>
    <t xml:space="preserve">Enka Insaat ve Sanayi AS Ordinary TRY 1.0 </t>
  </si>
  <si>
    <t xml:space="preserve">Eregli Demir ve Celik Fabrikal Ordinary TRY 1.0 </t>
  </si>
  <si>
    <t xml:space="preserve">Ford Otomotiv Sanayi AS Ordinary TRY 1.0 </t>
  </si>
  <si>
    <t xml:space="preserve">Gubre Fabrikalari TAS Ordinary TRY 1.0 </t>
  </si>
  <si>
    <t xml:space="preserve">Haci Omer Sabanci Holding AS Ordinary TRY 1.0 </t>
  </si>
  <si>
    <t xml:space="preserve">KOC Holding AS Ordinary TRY 1.0 </t>
  </si>
  <si>
    <t xml:space="preserve">Koza Altin Isletmeleri AS Ordinary TRY 1.0 </t>
  </si>
  <si>
    <t xml:space="preserve">Petkim Petrokimya Holding AS Ordinary TRY 1.0 </t>
  </si>
  <si>
    <t xml:space="preserve">Sasa Polyester Sanayi AS Ordinary TRY 1.0 </t>
  </si>
  <si>
    <t xml:space="preserve">TAV Havalimanlari Holding AS Ordinary TRY 1.0 </t>
  </si>
  <si>
    <t xml:space="preserve">Tofas Turk Otomobil Fabrikasi Ordinary TRY 1.0 </t>
  </si>
  <si>
    <t xml:space="preserve">Turk Hava Yollari AO Ordinary TRY 1.0 </t>
  </si>
  <si>
    <t xml:space="preserve">Turk Telekomunikasyon AS Ordinary TRY 1.0 </t>
  </si>
  <si>
    <t xml:space="preserve">Turkcell Iletisim Hizmetleri A Ordinary TRY 1.0 </t>
  </si>
  <si>
    <t xml:space="preserve">Turkiye Garanti Bkasi AS Ordinary TRY 1.0 </t>
  </si>
  <si>
    <t xml:space="preserve">Turkiye Is Bkasi AS Ordinary TRY 1.0 </t>
  </si>
  <si>
    <t xml:space="preserve">Turkiye Petrol Rafinerileri AS Ordinary TRY 1.0 </t>
  </si>
  <si>
    <t xml:space="preserve">Turkiye Sise ve Cam Fabrikalar Ordinary TRY 1.0 </t>
  </si>
  <si>
    <t xml:space="preserve">                                                                                          </t>
  </si>
  <si>
    <t xml:space="preserve">ASE Technology Holding Co Ltd Ordinary TWD 10.0 </t>
  </si>
  <si>
    <t>TWD</t>
  </si>
  <si>
    <t xml:space="preserve">ASMedia Technology Inc Ordinary TWD 10.0 </t>
  </si>
  <si>
    <t xml:space="preserve">AU Optronics Corp Ordinary TWD 10.0 </t>
  </si>
  <si>
    <t xml:space="preserve">Accton Technology Corp Ordinary TWD 10.0 </t>
  </si>
  <si>
    <t xml:space="preserve">Acer Inc Ordinary TWD 10.0 </t>
  </si>
  <si>
    <t xml:space="preserve">Advantech Co Ltd Ordinary TWD 10.0 </t>
  </si>
  <si>
    <t xml:space="preserve">Airtac Intl Group Ordinary TWD 10.0 </t>
  </si>
  <si>
    <t xml:space="preserve">Asia Cement Corp Ordinary TWD 10.0 </t>
  </si>
  <si>
    <t xml:space="preserve">Asustek Computer Inc Ordinary TWD 10.0 </t>
  </si>
  <si>
    <t xml:space="preserve">CTBC Financial Holding Co Ltd Ordinary TWD 10.0 </t>
  </si>
  <si>
    <t xml:space="preserve">Capital Secs Corp Ordinary TWD 10.0 </t>
  </si>
  <si>
    <t xml:space="preserve">Catcher Technology Co Ltd Ordinary TWD 10.0 </t>
  </si>
  <si>
    <t xml:space="preserve">Cathay Financial Holding Co Lt Ordinary TWD 10.0 </t>
  </si>
  <si>
    <t xml:space="preserve">Chailease Holding Co Ltd Ordinary TWD 10.0 </t>
  </si>
  <si>
    <t xml:space="preserve">Chang Hwa Commercial Bk Ltd Ordinary TWD 10.0 </t>
  </si>
  <si>
    <t xml:space="preserve">Cheng Shin Rubber Industry Co Ordinary TWD 10.0 </t>
  </si>
  <si>
    <t xml:space="preserve">Chicony Electronics Co Ltd Ordinary TWD 10.0 </t>
  </si>
  <si>
    <t xml:space="preserve">China Airlines Ltd Ordinary TWD 10.0 </t>
  </si>
  <si>
    <t xml:space="preserve">China Development Financial Ho Ordinary TWD 10.0 </t>
  </si>
  <si>
    <t xml:space="preserve">China Motor Corp Ordinary TWD 10.0 </t>
  </si>
  <si>
    <t xml:space="preserve">China Steel Corp Ordinary TWD 10.0 </t>
  </si>
  <si>
    <t xml:space="preserve">Chunghwa Telecom Co Ltd Ordinary TWD 10.0 </t>
  </si>
  <si>
    <t xml:space="preserve">Compal Electronics Inc Ordinary TWD 10.0 </t>
  </si>
  <si>
    <t xml:space="preserve">Delta Electronics Inc Ordinary TWD 10.0 </t>
  </si>
  <si>
    <t xml:space="preserve">E.Sun Financial Holding Co Ltd Ordinary TWD 10.0 </t>
  </si>
  <si>
    <t xml:space="preserve">ENNOSTAR Inc Ordinary TWD 10.0 </t>
  </si>
  <si>
    <t xml:space="preserve">Eclat Textile Co Ltd Ordinary TWD 10.0 </t>
  </si>
  <si>
    <t xml:space="preserve">Eternal Materials Co Ltd Ordinary TWD 10.0 </t>
  </si>
  <si>
    <t xml:space="preserve">Eva Airways Corp Ordinary TWD 10.0 </t>
  </si>
  <si>
    <t xml:space="preserve">Evergreen Marine Corp Taiwan L Ordinary TWD 10.0 </t>
  </si>
  <si>
    <t xml:space="preserve">Far EasTone Telecommunications Ordinary TWD 10.0 </t>
  </si>
  <si>
    <t xml:space="preserve">Far Eastern Intl Bk Ordinary TWD 10.0 </t>
  </si>
  <si>
    <t xml:space="preserve">Far Eastern New Century Corp Ordinary TWD 10.0 </t>
  </si>
  <si>
    <t xml:space="preserve">Feng TAY Enterprise Co Ltd Ordinary TWD 10.0 </t>
  </si>
  <si>
    <t xml:space="preserve">First Financial Holding Co Ltd Ordinary TWD 10.0 </t>
  </si>
  <si>
    <t xml:space="preserve">Formosa Chemicals &amp; Fibre Corp Ordinary TWD 10.0 </t>
  </si>
  <si>
    <t xml:space="preserve">Formosa Petrochemical Corp Ordinary TWD 10.0 </t>
  </si>
  <si>
    <t xml:space="preserve">Formosa Plastics Corp Ordinary TWD 10.0 </t>
  </si>
  <si>
    <t xml:space="preserve">Formosa Taffeta Co Ltd Ordinary TWD 10.0 </t>
  </si>
  <si>
    <t xml:space="preserve">Foxconn Technology Co Ltd Ordinary TWD 10.0 </t>
  </si>
  <si>
    <t xml:space="preserve">Fubon Financial Holding Co Ltd Ordinary TWD 10.0 </t>
  </si>
  <si>
    <t xml:space="preserve">Genius Electronic Optical Co L Ordinary TWD 10.0 </t>
  </si>
  <si>
    <t xml:space="preserve">Giant Manufacturing Co Ltd Ordinary TWD 10.0 </t>
  </si>
  <si>
    <t xml:space="preserve">Globalwafers Co Ltd Ordinary TWD 10.0 </t>
  </si>
  <si>
    <t xml:space="preserve">HTC Corp Ordinary TWD 10.0 </t>
  </si>
  <si>
    <t xml:space="preserve">Hiwin Technologies Corp Ordinary TWD 10.0 </t>
  </si>
  <si>
    <t xml:space="preserve">Hon Hai Precision Industry Co Ordinary TWD 10.0 </t>
  </si>
  <si>
    <t xml:space="preserve">Hotai Motor Co Ltd Ordinary TWD 10.0 </t>
  </si>
  <si>
    <t xml:space="preserve">Hua Nan Financial Holdings Co Ordinary TWD 10.0 </t>
  </si>
  <si>
    <t xml:space="preserve">Innolux Corp Ordinary TWD 10.0 </t>
  </si>
  <si>
    <t xml:space="preserve">Inventec Corp Ordinary TWD 10.0 </t>
  </si>
  <si>
    <t xml:space="preserve">Largan Precision Co Ltd Ordinary TWD 10.0 </t>
  </si>
  <si>
    <t xml:space="preserve">Lite-On Technology Corp Ordinary TWD 10.0 </t>
  </si>
  <si>
    <t xml:space="preserve">MediaTek Inc Ordinary TWD 10.0 </t>
  </si>
  <si>
    <t xml:space="preserve">Mega Financial Holding Co Ltd Ordinary TWD 10.0 </t>
  </si>
  <si>
    <t xml:space="preserve">Micro-Star Intl Co Ltd Ordinary TWD 10.0 </t>
  </si>
  <si>
    <t xml:space="preserve">Nan Ya Plastics Corp Ordinary TWD 10.0 </t>
  </si>
  <si>
    <t xml:space="preserve">Nan Ya Printed Circuit Board C Ordinary TWD 10.0 </t>
  </si>
  <si>
    <t xml:space="preserve">Nanya Technology Corp Ordinary TWD 10.0 </t>
  </si>
  <si>
    <t xml:space="preserve">Nien Made Enterprise Co Ltd Ordinary TWD 10.0 </t>
  </si>
  <si>
    <t xml:space="preserve">Novatek Microelectronics Corp Ordinary TWD 10.0 </t>
  </si>
  <si>
    <t xml:space="preserve">OBI Pharma Inc Ordinary TWD 10.0 </t>
  </si>
  <si>
    <t xml:space="preserve">Oneness Biotech Co Ltd Ordinary TWD 10.0 </t>
  </si>
  <si>
    <t xml:space="preserve">Parade Technologies Ltd Ordinary TWD 10.0 </t>
  </si>
  <si>
    <t xml:space="preserve">Pegatron Corp Ordinary TWD 10.0 </t>
  </si>
  <si>
    <t xml:space="preserve">Pou Chen Corp Ordinary TWD 10.0 </t>
  </si>
  <si>
    <t xml:space="preserve">Powertech Technology Inc Ordinary TWD 10.0 </t>
  </si>
  <si>
    <t xml:space="preserve">President Chain Store Corp Ordinary TWD 10.0 </t>
  </si>
  <si>
    <t xml:space="preserve">Quanta Computer Inc Ordinary TWD 10.0 </t>
  </si>
  <si>
    <t xml:space="preserve">Realtek Semiconductor Corp Ordinary TWD 10.0 </t>
  </si>
  <si>
    <t xml:space="preserve">Shanghai Commercial &amp; Svgs Bk Ordinary TWD 10.0 </t>
  </si>
  <si>
    <t xml:space="preserve">Shin Kong Financial Holding Co Ordinary TWD 10.0 </t>
  </si>
  <si>
    <t xml:space="preserve">Silergy Corp Ordinary TWD 10.0 </t>
  </si>
  <si>
    <t xml:space="preserve">Sino-American Silicon Products Ordinary TWD 10.0 </t>
  </si>
  <si>
    <t xml:space="preserve">SinoPac Financial Holdings Co Ordinary TWD 10.0 </t>
  </si>
  <si>
    <t xml:space="preserve">Synnex Technology Intl Corp Ordinary TWD 10.0 </t>
  </si>
  <si>
    <t xml:space="preserve">Taishin Financial Holding Co L Ordinary TWD 10.0 </t>
  </si>
  <si>
    <t xml:space="preserve">Taiwan Bus Bk Ordinary TWD 10.0 </t>
  </si>
  <si>
    <t xml:space="preserve">Taiwan Cement Corp Ordinary TWD 10.0 </t>
  </si>
  <si>
    <t xml:space="preserve">Taiwan Cooperative Financial H Ordinary TWD 10.0 </t>
  </si>
  <si>
    <t xml:space="preserve">Taiwan Fertilizer Co Ltd Ordinary TWD 10.0 </t>
  </si>
  <si>
    <t xml:space="preserve">Taiwan Glass Industry Corp Ordinary TWD 10.0 </t>
  </si>
  <si>
    <t xml:space="preserve">Taiwan High Speed Rail Corp Ordinary TWD 10.0 </t>
  </si>
  <si>
    <t xml:space="preserve">Taiwan Mobile Co Ltd Ordinary TWD 10.0 </t>
  </si>
  <si>
    <t xml:space="preserve">Taiwan Secom Co Ltd Ordinary TWD 10.0 </t>
  </si>
  <si>
    <t xml:space="preserve">Taiwan Semiconductor Manufactu Ordinary TWD 10.0 </t>
  </si>
  <si>
    <t xml:space="preserve">Teco Electric and Machinery Co Ordinary TWD 10.0 </t>
  </si>
  <si>
    <t xml:space="preserve">Uni-President Enterprises Corp Ordinary TWD 10.0 </t>
  </si>
  <si>
    <t xml:space="preserve">Unimicron Technology Corp Ordinary TWD 10.0 </t>
  </si>
  <si>
    <t xml:space="preserve">Utd Microelectronics Corp Ordinary TWD 10.0 </t>
  </si>
  <si>
    <t xml:space="preserve">Vanguard Intl Semiconductor Co Ordinary TWD 10.0 </t>
  </si>
  <si>
    <t xml:space="preserve">Voltronic Power Technology Cor Ordinary TWD 10.0 </t>
  </si>
  <si>
    <t xml:space="preserve">Walsin Lihwa Corp Ordinary TWD 10.0 </t>
  </si>
  <si>
    <t xml:space="preserve">Walsin Technology Corp Ordinary TWD 10.0 </t>
  </si>
  <si>
    <t xml:space="preserve">Wan Hai Lines Ltd Ordinary TWD 10.0 </t>
  </si>
  <si>
    <t xml:space="preserve">Win Semiconductors Corp Ordinary TWD 10.0 </t>
  </si>
  <si>
    <t xml:space="preserve">Winbond Electronics Corp Ordinary TWD 10.0 </t>
  </si>
  <si>
    <t xml:space="preserve">Wistron Corp Ordinary TWD 10.0 </t>
  </si>
  <si>
    <t xml:space="preserve">Wiwynn Corp Ordinary TWD 10.0 </t>
  </si>
  <si>
    <t xml:space="preserve">Yageo Corp Ordinary TWD 10.0 </t>
  </si>
  <si>
    <t xml:space="preserve">Yang Ming Marine Transport Cor Ordinary TWD 10.0 </t>
  </si>
  <si>
    <t xml:space="preserve">Yuanta Financial Holding Co Lt Ordinary TWD 10.0 </t>
  </si>
  <si>
    <t xml:space="preserve">Yulon Motor Co Ltd Ordinary TWD 10.0 </t>
  </si>
  <si>
    <t xml:space="preserve">Zhen Ding Technology Holding L Ordinary TWD 10.0 </t>
  </si>
  <si>
    <t xml:space="preserve">momo.com Inc Ordinary TWD 10.0 </t>
  </si>
  <si>
    <t xml:space="preserve">360 DigiTech Inc ADR USD </t>
  </si>
  <si>
    <t>USD</t>
  </si>
  <si>
    <t xml:space="preserve">51job Inc ADR USD </t>
  </si>
  <si>
    <t xml:space="preserve">Aeroflot PJSC Ordinary USD 1.0 </t>
  </si>
  <si>
    <t xml:space="preserve">Alrosa PJSC Ordinary USD 0.5 </t>
  </si>
  <si>
    <t xml:space="preserve">Autohome Inc ADR USD </t>
  </si>
  <si>
    <t xml:space="preserve">Baidu Inc ADR USD </t>
  </si>
  <si>
    <t xml:space="preserve">Bashneft PJSC Preference USD </t>
  </si>
  <si>
    <t xml:space="preserve">Bilibili Inc ADR USD </t>
  </si>
  <si>
    <t xml:space="preserve">Dada Nexus Ltd ADR USD </t>
  </si>
  <si>
    <t xml:space="preserve">DiDi Global Inc ADR USD </t>
  </si>
  <si>
    <t xml:space="preserve">Dr Reddy's Laboratories Ltd ADR USD </t>
  </si>
  <si>
    <t xml:space="preserve">Egypt Kuwait Holding Co SAE Ordinary USD 0.25 </t>
  </si>
  <si>
    <t xml:space="preserve">Federal Grid Co Unified Energy Ordinary USD 0.5 </t>
  </si>
  <si>
    <t xml:space="preserve">GDS Holdings Ltd ADR USD </t>
  </si>
  <si>
    <t xml:space="preserve">Gaotu Techedu Inc ADR USD </t>
  </si>
  <si>
    <t xml:space="preserve">Gazprom PJSC Ordinary USD 5.0 </t>
  </si>
  <si>
    <t xml:space="preserve">Huaxin Cement Co Ltd Ordinary USD 1.0 </t>
  </si>
  <si>
    <t xml:space="preserve">Huazhu Group Ltd ADR USD </t>
  </si>
  <si>
    <t xml:space="preserve">I-Mab ADR USD </t>
  </si>
  <si>
    <t xml:space="preserve">Inner Mongolia Yitai Coal Co L Ordinary USD 1.0 </t>
  </si>
  <si>
    <t xml:space="preserve">Inter RAO UES PJSC Ordinary USD 2.80977 </t>
  </si>
  <si>
    <t xml:space="preserve">JOYY Inc ADR USD </t>
  </si>
  <si>
    <t xml:space="preserve">KE Holdings Inc ADR USD </t>
  </si>
  <si>
    <t xml:space="preserve">Kanzhun Ltd ADR USD </t>
  </si>
  <si>
    <t xml:space="preserve">Kingsoft Cloud Holdings Ltd ADR USD </t>
  </si>
  <si>
    <t xml:space="preserve">LUKOIL PJSC Ordinary USD 0.025 </t>
  </si>
  <si>
    <t xml:space="preserve">Lao Feng Xiang Co Ltd Ordinary USD 1.0 </t>
  </si>
  <si>
    <t xml:space="preserve">Li Auto Inc ADR USD </t>
  </si>
  <si>
    <t xml:space="preserve">Lufax Holding Ltd ADR USD </t>
  </si>
  <si>
    <t xml:space="preserve">MINISO Group Holding Ltd ADR USD </t>
  </si>
  <si>
    <t xml:space="preserve">MMC Norilsk Nickel PJSC ADR USD </t>
  </si>
  <si>
    <t xml:space="preserve">Magnit PJSC Ordinary USD 0.01 </t>
  </si>
  <si>
    <t xml:space="preserve">Magnitogorsk Iron &amp; Steel Work Ordinary USD 1.0 </t>
  </si>
  <si>
    <t xml:space="preserve">Mobile TeleSystems PJSC Ordinary USD 0.1 </t>
  </si>
  <si>
    <t xml:space="preserve">Moscow Exch MICEX-RTS PJSC Ordinary USD 1.0 </t>
  </si>
  <si>
    <t xml:space="preserve">NIO Inc ADR USD </t>
  </si>
  <si>
    <t xml:space="preserve">New Oriental Education &amp; Techn ADR USD </t>
  </si>
  <si>
    <t xml:space="preserve">Novatek PJSC Ordinary USD 0.1 </t>
  </si>
  <si>
    <t xml:space="preserve">Novolipetsk Steel PJSC Ordinary USD 1.0 </t>
  </si>
  <si>
    <t xml:space="preserve">PhosAgro PJSC GDR USD </t>
  </si>
  <si>
    <t xml:space="preserve">Pinduoduo Inc ADR USD </t>
  </si>
  <si>
    <t xml:space="preserve">Polyus PJSC GDR USD </t>
  </si>
  <si>
    <t xml:space="preserve">RLX Technology Inc ADR USD </t>
  </si>
  <si>
    <t xml:space="preserve">ROSSETI PJSC Ordinary USD 1.0 </t>
  </si>
  <si>
    <t xml:space="preserve">Rosneft Oil Co PJSC Ordinary USD 0.01 </t>
  </si>
  <si>
    <t xml:space="preserve">Rostelecom PJSC Ordinary USD 0.0025 </t>
  </si>
  <si>
    <t xml:space="preserve">RusHydro PJSC Ordinary USD 1.0 </t>
  </si>
  <si>
    <t xml:space="preserve">Sberbank of Russia PJSC Ordinary USD 3.0 </t>
  </si>
  <si>
    <t xml:space="preserve">Severstal PAO Ordinary USD 0.01 </t>
  </si>
  <si>
    <t xml:space="preserve">Shanghai Baosight Software Co Ordinary USD 1.0 </t>
  </si>
  <si>
    <t xml:space="preserve">Shanghai Jinjiang Intl Hotels Ordinary USD 1.0 </t>
  </si>
  <si>
    <t xml:space="preserve">Shanghai Lujiazui Finance &amp; Tr Ordinary USD 1.0 </t>
  </si>
  <si>
    <t xml:space="preserve">Shanghai Mechanical and Electr Ordinary USD 1.0 </t>
  </si>
  <si>
    <t xml:space="preserve">Shanghai Waigaoqiao Free Trade Ordinary USD 1.0 </t>
  </si>
  <si>
    <t xml:space="preserve">Shanghai Zhenhua Heavy Industr Ordinary USD 1.0 </t>
  </si>
  <si>
    <t xml:space="preserve">Sistema PJSFC GDR USD </t>
  </si>
  <si>
    <t xml:space="preserve">Surgutneftegas PJSC Ordinary USD 1.0 </t>
  </si>
  <si>
    <t xml:space="preserve">Surgutneftegas PJSC Preference USD </t>
  </si>
  <si>
    <t xml:space="preserve">TAL Education Group ADR USD </t>
  </si>
  <si>
    <t xml:space="preserve">Tatneft PJSC Ordinary USD 1.0 </t>
  </si>
  <si>
    <t xml:space="preserve">Tatneft PJSC Preference USD </t>
  </si>
  <si>
    <t xml:space="preserve">Tencent Music Entertainment Gr ADR USD </t>
  </si>
  <si>
    <t xml:space="preserve">Transneft PJSC Preference USD </t>
  </si>
  <si>
    <t xml:space="preserve">Trip.com Group Ltd ADR USD </t>
  </si>
  <si>
    <t xml:space="preserve">Unipro PJSC Ordinary USD 0.4 </t>
  </si>
  <si>
    <t xml:space="preserve">VTB Bk PJSC Ordinary USD 0.01 </t>
  </si>
  <si>
    <t xml:space="preserve">Vipshop Holdings Ltd ADR USD </t>
  </si>
  <si>
    <t xml:space="preserve">Weibo Corp ADR USD </t>
  </si>
  <si>
    <t xml:space="preserve">XPeng Inc ADR USD </t>
  </si>
  <si>
    <t xml:space="preserve">ZTO Express Cayman Inc ADR USD </t>
  </si>
  <si>
    <t xml:space="preserve">Zai Lab Ltd ADR USD </t>
  </si>
  <si>
    <t xml:space="preserve">iQIYI Inc ADR USD </t>
  </si>
  <si>
    <t>Derivative</t>
  </si>
  <si>
    <t xml:space="preserve">ICE US MSCI Emerging Markets E Mar 2022 </t>
  </si>
  <si>
    <t xml:space="preserve">AVI Ltd Ordinary ZAR 5.0 </t>
  </si>
  <si>
    <t>ZAR</t>
  </si>
  <si>
    <t xml:space="preserve">Absa Group Ltd Ordinary ZAR 200.0 </t>
  </si>
  <si>
    <t xml:space="preserve">African Rainbow Minerals Ltd Ordinary ZAR 5.0 </t>
  </si>
  <si>
    <t xml:space="preserve">Anglo American Platinum Ltd Ordinary ZAR 10.0 </t>
  </si>
  <si>
    <t xml:space="preserve">AngloGold Ashanti Ltd Ordinary ZAR 25.0 </t>
  </si>
  <si>
    <t xml:space="preserve">Aspen Pharmacare Holdings Ltd Ordinary ZAR 13.90607 </t>
  </si>
  <si>
    <t xml:space="preserve">Barloworld Ltd Ordinary ZAR 5.0 </t>
  </si>
  <si>
    <t xml:space="preserve">Bid Corp Ltd Ordinary ZAR </t>
  </si>
  <si>
    <t xml:space="preserve">Bidvest Group Ltd/The Ordinary ZAR 5.0 </t>
  </si>
  <si>
    <t xml:space="preserve">Capitec Bk Holdings Ltd Ordinary ZAR 1.0 </t>
  </si>
  <si>
    <t xml:space="preserve">Clicks Group Ltd Ordinary ZAR 1.0 </t>
  </si>
  <si>
    <t xml:space="preserve">Coronation Fd Managers Ltd Ordinary ZAR 0.01 </t>
  </si>
  <si>
    <t xml:space="preserve">Dis-Chem Pharmacies Ltd Ordinary ZAR </t>
  </si>
  <si>
    <t xml:space="preserve">Discovery Ltd Ordinary ZAR 0.1 </t>
  </si>
  <si>
    <t xml:space="preserve">Distell Group Holdings Ltd Ordinary ZAR </t>
  </si>
  <si>
    <t xml:space="preserve">Exxaro Resources Ltd Ordinary ZAR 1.0 </t>
  </si>
  <si>
    <t xml:space="preserve">FirstRand Ltd Ordinary ZAR 1.0 </t>
  </si>
  <si>
    <t xml:space="preserve">Fortress REIT Ltd REIT ZAR </t>
  </si>
  <si>
    <t xml:space="preserve">Foschini Group Ltd/The Ordinary ZAR 1.25 </t>
  </si>
  <si>
    <t xml:space="preserve">Gold Fields Ltd Ordinary ZAR 50.0 </t>
  </si>
  <si>
    <t xml:space="preserve">Growthpoint Properties Ltd REIT ZAR </t>
  </si>
  <si>
    <t xml:space="preserve">Harmony Gold Mining Co Ltd Ordinary ZAR 50.0 </t>
  </si>
  <si>
    <t xml:space="preserve">Impala Platinum Holdings Ltd Ordinary ZAR </t>
  </si>
  <si>
    <t xml:space="preserve">Investec Ltd Ordinary ZAR 0.02 </t>
  </si>
  <si>
    <t xml:space="preserve">Kumba Iron Ore Ltd Ordinary ZAR 0.01 </t>
  </si>
  <si>
    <t xml:space="preserve">Life Healthcare Group Holdings Ordinary ZAR 0.000001 </t>
  </si>
  <si>
    <t xml:space="preserve">MTN Group Ltd Ordinary ZAR 0.01 </t>
  </si>
  <si>
    <t xml:space="preserve">Momentum Metropolitan Holdings Ordinary ZAR 0.0001 </t>
  </si>
  <si>
    <t xml:space="preserve">Mr Price Group Ltd Ordinary ZAR 0.025 </t>
  </si>
  <si>
    <t xml:space="preserve">MultiChoice Group Ordinary ZAR </t>
  </si>
  <si>
    <t xml:space="preserve">NEPI Rockcastle PLC Ordinary ZAR 0.01 </t>
  </si>
  <si>
    <t xml:space="preserve">Naspers Ltd Ordinary ZAR 2.0 </t>
  </si>
  <si>
    <t xml:space="preserve">Nedbank Group Ltd Ordinary ZAR 100.0 </t>
  </si>
  <si>
    <t xml:space="preserve">Netcare Ltd Ordinary ZAR 1.0 </t>
  </si>
  <si>
    <t xml:space="preserve">Northam Platinum Holdings Ltd Ordinary ZAR </t>
  </si>
  <si>
    <t xml:space="preserve">Old Mutual Ltd Ordinary ZAR </t>
  </si>
  <si>
    <t xml:space="preserve">PSG Group Ltd Ordinary ZAR 1.0 </t>
  </si>
  <si>
    <t xml:space="preserve">Pepkor Holdings Ltd Ordinary ZAR </t>
  </si>
  <si>
    <t xml:space="preserve">Pick n Pay Stores Ltd Ordinary ZAR 1.25 </t>
  </si>
  <si>
    <t xml:space="preserve">Rand Merchant Investment Holdi Ordinary ZAR 0.0001 </t>
  </si>
  <si>
    <t xml:space="preserve">Redefine Properties Ltd REIT ZAR </t>
  </si>
  <si>
    <t xml:space="preserve">Reinet Investments SCA Ordinary ZAR </t>
  </si>
  <si>
    <t xml:space="preserve">Remgro Ltd Ordinary ZAR </t>
  </si>
  <si>
    <t xml:space="preserve">Resilient REIT Ltd REIT ZAR </t>
  </si>
  <si>
    <t xml:space="preserve">Royal Bafokeng Platinum Ltd Ordinary ZAR </t>
  </si>
  <si>
    <t xml:space="preserve">SPAR Group Ltd/The Ordinary ZAR </t>
  </si>
  <si>
    <t xml:space="preserve">Sanlam Ltd Ordinary ZAR 1.0 </t>
  </si>
  <si>
    <t xml:space="preserve">Sappi Ltd Ordinary ZAR 100.0 </t>
  </si>
  <si>
    <t xml:space="preserve">Sasol Ltd Ordinary ZAR </t>
  </si>
  <si>
    <t xml:space="preserve">Shoprite Holdings Ltd Ordinary ZAR 113.4 </t>
  </si>
  <si>
    <t xml:space="preserve">Sibanye Stillwater Ltd Ordinary ZAR </t>
  </si>
  <si>
    <t xml:space="preserve">Standard Bk Group Ltd Ordinary ZAR 10.0 </t>
  </si>
  <si>
    <t xml:space="preserve">Telkom SA SOC Ltd Ordinary ZAR 1000.0 </t>
  </si>
  <si>
    <t xml:space="preserve">Tiger Brands Ltd Ordinary ZAR 10.0 </t>
  </si>
  <si>
    <t xml:space="preserve">Truworths Intl Ltd Ordinary ZAR 0.015 </t>
  </si>
  <si>
    <t xml:space="preserve">Vodacom Group Ltd Ordinary ZAR </t>
  </si>
  <si>
    <t xml:space="preserve">Woolworths Holdings Ltd/South Ordinary ZAR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</si>
</sst>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2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20" ht="15">
      <c r="A2" t="s">
        <v>19</v>
      </c>
      <c r="B2" t="s">
        <v>20</v>
      </c>
      <c r="C2" t="str">
        <f aca="true" t="shared" si="0" ref="C2:C65">"31-Dec-21"</f>
        <v>31-Dec-21</v>
      </c>
      <c r="D2" t="s">
        <v>21</v>
      </c>
      <c r="E2" t="s">
        <v>22</v>
      </c>
      <c r="F2" t="str">
        <f>"6545464"</f>
        <v>6545464</v>
      </c>
      <c r="G2" t="s">
        <v>23</v>
      </c>
      <c r="I2" t="s">
        <v>24</v>
      </c>
      <c r="J2">
        <v>0.239406705</v>
      </c>
      <c r="K2">
        <v>95899</v>
      </c>
      <c r="L2">
        <v>767088.58</v>
      </c>
      <c r="M2">
        <v>180275.28</v>
      </c>
      <c r="N2">
        <v>8.53</v>
      </c>
      <c r="O2">
        <v>818018.47</v>
      </c>
      <c r="P2">
        <v>195839.11</v>
      </c>
      <c r="Q2">
        <v>0</v>
      </c>
      <c r="R2">
        <v>0</v>
      </c>
      <c r="S2">
        <v>0.097</v>
      </c>
      <c r="T2" t="s">
        <v>25</v>
      </c>
    </row>
    <row r="3" spans="1:20" ht="15">
      <c r="A3" t="s">
        <v>19</v>
      </c>
      <c r="B3" t="s">
        <v>20</v>
      </c>
      <c r="C3" t="str">
        <f t="shared" si="0"/>
        <v>31-Dec-21</v>
      </c>
      <c r="D3" t="s">
        <v>21</v>
      </c>
      <c r="E3" t="s">
        <v>22</v>
      </c>
      <c r="F3" t="str">
        <f>"6001728"</f>
        <v>6001728</v>
      </c>
      <c r="G3" t="s">
        <v>26</v>
      </c>
      <c r="I3" t="s">
        <v>24</v>
      </c>
      <c r="J3">
        <v>0.239406705</v>
      </c>
      <c r="K3">
        <v>58011</v>
      </c>
      <c r="L3">
        <v>266052.94</v>
      </c>
      <c r="M3">
        <v>63189.91</v>
      </c>
      <c r="N3">
        <v>6.87</v>
      </c>
      <c r="O3">
        <v>398535.57</v>
      </c>
      <c r="P3">
        <v>95412.09</v>
      </c>
      <c r="Q3">
        <v>0</v>
      </c>
      <c r="R3">
        <v>0</v>
      </c>
      <c r="S3">
        <v>0.047</v>
      </c>
      <c r="T3" t="s">
        <v>25</v>
      </c>
    </row>
    <row r="4" spans="1:20" ht="15">
      <c r="A4" t="s">
        <v>19</v>
      </c>
      <c r="B4" t="s">
        <v>20</v>
      </c>
      <c r="C4" t="str">
        <f t="shared" si="0"/>
        <v>31-Dec-21</v>
      </c>
      <c r="D4" t="s">
        <v>21</v>
      </c>
      <c r="E4" t="s">
        <v>22</v>
      </c>
      <c r="F4" t="str">
        <f>"BYVGM64"</f>
        <v>BYVGM64</v>
      </c>
      <c r="G4" t="s">
        <v>27</v>
      </c>
      <c r="I4" t="s">
        <v>24</v>
      </c>
      <c r="J4">
        <v>0.239406705</v>
      </c>
      <c r="K4">
        <v>41782</v>
      </c>
      <c r="L4">
        <v>183452.69</v>
      </c>
      <c r="M4">
        <v>42853.7</v>
      </c>
      <c r="N4">
        <v>4.27</v>
      </c>
      <c r="O4">
        <v>178409.14</v>
      </c>
      <c r="P4">
        <v>42712.34</v>
      </c>
      <c r="Q4">
        <v>0</v>
      </c>
      <c r="R4">
        <v>0</v>
      </c>
      <c r="S4">
        <v>0.021</v>
      </c>
      <c r="T4" t="s">
        <v>25</v>
      </c>
    </row>
    <row r="5" spans="1:20" ht="15">
      <c r="A5" t="s">
        <v>19</v>
      </c>
      <c r="B5" t="s">
        <v>20</v>
      </c>
      <c r="C5" t="str">
        <f t="shared" si="0"/>
        <v>31-Dec-21</v>
      </c>
      <c r="D5" t="s">
        <v>21</v>
      </c>
      <c r="E5" t="s">
        <v>22</v>
      </c>
      <c r="F5" t="str">
        <f>"B23DL40"</f>
        <v>B23DL40</v>
      </c>
      <c r="G5" t="s">
        <v>28</v>
      </c>
      <c r="I5" t="s">
        <v>24</v>
      </c>
      <c r="J5">
        <v>0.239406705</v>
      </c>
      <c r="K5">
        <v>43952</v>
      </c>
      <c r="L5">
        <v>59542.58</v>
      </c>
      <c r="M5">
        <v>12093.61</v>
      </c>
      <c r="N5">
        <v>1.45</v>
      </c>
      <c r="O5">
        <v>63730.4</v>
      </c>
      <c r="P5">
        <v>15257.49</v>
      </c>
      <c r="Q5">
        <v>0</v>
      </c>
      <c r="R5">
        <v>0</v>
      </c>
      <c r="S5">
        <v>0.008</v>
      </c>
      <c r="T5" t="s">
        <v>25</v>
      </c>
    </row>
    <row r="6" spans="1:20" ht="15">
      <c r="A6" t="s">
        <v>19</v>
      </c>
      <c r="B6" t="s">
        <v>20</v>
      </c>
      <c r="C6" t="str">
        <f t="shared" si="0"/>
        <v>31-Dec-21</v>
      </c>
      <c r="D6" t="s">
        <v>21</v>
      </c>
      <c r="E6" t="s">
        <v>22</v>
      </c>
      <c r="F6" t="str">
        <f>"B0LX3Y2"</f>
        <v>B0LX3Y2</v>
      </c>
      <c r="G6" t="s">
        <v>29</v>
      </c>
      <c r="I6" t="s">
        <v>24</v>
      </c>
      <c r="J6">
        <v>0.239406705</v>
      </c>
      <c r="K6">
        <v>127990</v>
      </c>
      <c r="L6">
        <v>352188.63</v>
      </c>
      <c r="M6">
        <v>76533.91</v>
      </c>
      <c r="N6">
        <v>3.99</v>
      </c>
      <c r="O6">
        <v>510680.1</v>
      </c>
      <c r="P6">
        <v>122260.24</v>
      </c>
      <c r="Q6">
        <v>0</v>
      </c>
      <c r="R6">
        <v>0</v>
      </c>
      <c r="S6">
        <v>0.061</v>
      </c>
      <c r="T6" t="s">
        <v>25</v>
      </c>
    </row>
    <row r="7" spans="1:20" ht="15">
      <c r="A7" t="s">
        <v>19</v>
      </c>
      <c r="B7" t="s">
        <v>20</v>
      </c>
      <c r="C7" t="str">
        <f t="shared" si="0"/>
        <v>31-Dec-21</v>
      </c>
      <c r="D7" t="s">
        <v>21</v>
      </c>
      <c r="E7" t="s">
        <v>22</v>
      </c>
      <c r="F7" t="str">
        <f>"B0VR4L8"</f>
        <v>B0VR4L8</v>
      </c>
      <c r="G7" t="s">
        <v>30</v>
      </c>
      <c r="I7" t="s">
        <v>24</v>
      </c>
      <c r="J7">
        <v>0.239406705</v>
      </c>
      <c r="K7">
        <v>135319</v>
      </c>
      <c r="L7">
        <v>131723.88</v>
      </c>
      <c r="M7">
        <v>26452.33</v>
      </c>
      <c r="N7">
        <v>1.06</v>
      </c>
      <c r="O7">
        <v>143438.14</v>
      </c>
      <c r="P7">
        <v>34340.05</v>
      </c>
      <c r="Q7">
        <v>4736.17</v>
      </c>
      <c r="R7">
        <v>1133.87</v>
      </c>
      <c r="S7">
        <v>0.018</v>
      </c>
      <c r="T7" t="s">
        <v>25</v>
      </c>
    </row>
    <row r="8" spans="1:20" ht="15">
      <c r="A8" t="s">
        <v>19</v>
      </c>
      <c r="B8" t="s">
        <v>20</v>
      </c>
      <c r="C8" t="str">
        <f t="shared" si="0"/>
        <v>31-Dec-21</v>
      </c>
      <c r="D8" t="s">
        <v>21</v>
      </c>
      <c r="E8" t="s">
        <v>22</v>
      </c>
      <c r="F8" t="str">
        <f>"B1GPBP7"</f>
        <v>B1GPBP7</v>
      </c>
      <c r="G8" t="s">
        <v>31</v>
      </c>
      <c r="I8" t="s">
        <v>24</v>
      </c>
      <c r="J8">
        <v>0.239406705</v>
      </c>
      <c r="K8">
        <v>42398</v>
      </c>
      <c r="L8">
        <v>117252.52</v>
      </c>
      <c r="M8">
        <v>28129.17</v>
      </c>
      <c r="N8">
        <v>2.84</v>
      </c>
      <c r="O8">
        <v>120410.32</v>
      </c>
      <c r="P8">
        <v>28827.04</v>
      </c>
      <c r="Q8">
        <v>0</v>
      </c>
      <c r="R8">
        <v>0</v>
      </c>
      <c r="S8">
        <v>0.014</v>
      </c>
      <c r="T8" t="s">
        <v>25</v>
      </c>
    </row>
    <row r="9" spans="1:20" ht="15">
      <c r="A9" t="s">
        <v>19</v>
      </c>
      <c r="B9" t="s">
        <v>20</v>
      </c>
      <c r="C9" t="str">
        <f t="shared" si="0"/>
        <v>31-Dec-21</v>
      </c>
      <c r="D9" t="s">
        <v>21</v>
      </c>
      <c r="E9" t="s">
        <v>22</v>
      </c>
      <c r="F9" t="str">
        <f>"6388357"</f>
        <v>6388357</v>
      </c>
      <c r="G9" t="s">
        <v>32</v>
      </c>
      <c r="I9" t="s">
        <v>24</v>
      </c>
      <c r="J9">
        <v>0.239406705</v>
      </c>
      <c r="K9">
        <v>59889</v>
      </c>
      <c r="L9">
        <v>141815.73</v>
      </c>
      <c r="M9">
        <v>34000.94</v>
      </c>
      <c r="N9">
        <v>1.93</v>
      </c>
      <c r="O9">
        <v>115585.77</v>
      </c>
      <c r="P9">
        <v>27672.01</v>
      </c>
      <c r="Q9">
        <v>0</v>
      </c>
      <c r="R9">
        <v>0</v>
      </c>
      <c r="S9">
        <v>0.014</v>
      </c>
      <c r="T9" t="s">
        <v>25</v>
      </c>
    </row>
    <row r="10" spans="1:20" ht="15">
      <c r="A10" t="s">
        <v>19</v>
      </c>
      <c r="B10" t="s">
        <v>20</v>
      </c>
      <c r="C10" t="str">
        <f t="shared" si="0"/>
        <v>31-Dec-21</v>
      </c>
      <c r="D10" t="s">
        <v>21</v>
      </c>
      <c r="E10" t="s">
        <v>22</v>
      </c>
      <c r="F10" t="str">
        <f>"6283452"</f>
        <v>6283452</v>
      </c>
      <c r="G10" t="s">
        <v>33</v>
      </c>
      <c r="I10" t="s">
        <v>24</v>
      </c>
      <c r="J10">
        <v>0.239406705</v>
      </c>
      <c r="K10">
        <v>104846</v>
      </c>
      <c r="L10">
        <v>495509.38</v>
      </c>
      <c r="M10">
        <v>113727.12</v>
      </c>
      <c r="N10">
        <v>5.38</v>
      </c>
      <c r="O10">
        <v>564071.48</v>
      </c>
      <c r="P10">
        <v>135042.49</v>
      </c>
      <c r="Q10">
        <v>0</v>
      </c>
      <c r="R10">
        <v>0</v>
      </c>
      <c r="S10">
        <v>0.067</v>
      </c>
      <c r="T10" t="s">
        <v>25</v>
      </c>
    </row>
    <row r="11" spans="1:20" ht="15">
      <c r="A11" t="s">
        <v>19</v>
      </c>
      <c r="B11" t="s">
        <v>20</v>
      </c>
      <c r="C11" t="str">
        <f t="shared" si="0"/>
        <v>31-Dec-21</v>
      </c>
      <c r="D11" t="s">
        <v>21</v>
      </c>
      <c r="E11" t="s">
        <v>22</v>
      </c>
      <c r="F11" t="str">
        <f>"BDG1977"</f>
        <v>BDG1977</v>
      </c>
      <c r="G11" t="s">
        <v>34</v>
      </c>
      <c r="I11" t="s">
        <v>24</v>
      </c>
      <c r="J11">
        <v>0.239406705</v>
      </c>
      <c r="K11">
        <v>18847</v>
      </c>
      <c r="L11">
        <v>113647.41</v>
      </c>
      <c r="M11">
        <v>26283.05</v>
      </c>
      <c r="N11">
        <v>4.37</v>
      </c>
      <c r="O11">
        <v>82361.39</v>
      </c>
      <c r="P11">
        <v>19717.87</v>
      </c>
      <c r="Q11">
        <v>0</v>
      </c>
      <c r="R11">
        <v>0</v>
      </c>
      <c r="S11">
        <v>0.01</v>
      </c>
      <c r="T11" t="s">
        <v>25</v>
      </c>
    </row>
    <row r="12" spans="1:20" ht="15">
      <c r="A12" t="s">
        <v>19</v>
      </c>
      <c r="B12" t="s">
        <v>20</v>
      </c>
      <c r="C12" t="str">
        <f t="shared" si="0"/>
        <v>31-Dec-21</v>
      </c>
      <c r="D12" t="s">
        <v>21</v>
      </c>
      <c r="E12" t="s">
        <v>22</v>
      </c>
      <c r="F12" t="str">
        <f>"B01RM25"</f>
        <v>B01RM25</v>
      </c>
      <c r="G12" t="s">
        <v>35</v>
      </c>
      <c r="I12" t="s">
        <v>24</v>
      </c>
      <c r="J12">
        <v>0.239406705</v>
      </c>
      <c r="K12">
        <v>162173</v>
      </c>
      <c r="L12">
        <v>1001002.26</v>
      </c>
      <c r="M12">
        <v>224413.19</v>
      </c>
      <c r="N12">
        <v>4.89</v>
      </c>
      <c r="O12">
        <v>793025.97</v>
      </c>
      <c r="P12">
        <v>189855.73</v>
      </c>
      <c r="Q12">
        <v>0</v>
      </c>
      <c r="R12">
        <v>0</v>
      </c>
      <c r="S12">
        <v>0.094</v>
      </c>
      <c r="T12" t="s">
        <v>25</v>
      </c>
    </row>
    <row r="13" spans="1:20" ht="15">
      <c r="A13" t="s">
        <v>19</v>
      </c>
      <c r="B13" t="s">
        <v>20</v>
      </c>
      <c r="C13" t="str">
        <f t="shared" si="0"/>
        <v>31-Dec-21</v>
      </c>
      <c r="D13" t="s">
        <v>21</v>
      </c>
      <c r="E13" t="s">
        <v>22</v>
      </c>
      <c r="F13" t="str">
        <f>"B28PFX8"</f>
        <v>B28PFX8</v>
      </c>
      <c r="G13" t="s">
        <v>36</v>
      </c>
      <c r="I13" t="s">
        <v>24</v>
      </c>
      <c r="J13">
        <v>0.239406705</v>
      </c>
      <c r="K13">
        <v>85893</v>
      </c>
      <c r="L13">
        <v>931593.33</v>
      </c>
      <c r="M13">
        <v>214895.22</v>
      </c>
      <c r="N13">
        <v>13.55</v>
      </c>
      <c r="O13">
        <v>1163850.15</v>
      </c>
      <c r="P13">
        <v>278633.53</v>
      </c>
      <c r="Q13">
        <v>0</v>
      </c>
      <c r="R13">
        <v>0</v>
      </c>
      <c r="S13">
        <v>0.138</v>
      </c>
      <c r="T13" t="s">
        <v>25</v>
      </c>
    </row>
    <row r="14" spans="1:20" ht="15">
      <c r="A14" t="s">
        <v>19</v>
      </c>
      <c r="B14" t="s">
        <v>20</v>
      </c>
      <c r="C14" t="str">
        <f t="shared" si="0"/>
        <v>31-Dec-21</v>
      </c>
      <c r="D14" t="s">
        <v>21</v>
      </c>
      <c r="E14" t="s">
        <v>22</v>
      </c>
      <c r="F14" t="str">
        <f>"6322173"</f>
        <v>6322173</v>
      </c>
      <c r="G14" t="s">
        <v>37</v>
      </c>
      <c r="I14" t="s">
        <v>24</v>
      </c>
      <c r="J14">
        <v>0.239406705</v>
      </c>
      <c r="K14">
        <v>107459</v>
      </c>
      <c r="L14">
        <v>2850678.95</v>
      </c>
      <c r="M14">
        <v>684853.51</v>
      </c>
      <c r="N14">
        <v>31.7</v>
      </c>
      <c r="O14">
        <v>3406450.3</v>
      </c>
      <c r="P14">
        <v>815527.04</v>
      </c>
      <c r="Q14">
        <v>0</v>
      </c>
      <c r="R14">
        <v>0</v>
      </c>
      <c r="S14">
        <v>0.404</v>
      </c>
      <c r="T14" t="s">
        <v>25</v>
      </c>
    </row>
    <row r="15" spans="1:20" ht="15">
      <c r="A15" t="s">
        <v>19</v>
      </c>
      <c r="B15" t="s">
        <v>20</v>
      </c>
      <c r="C15" t="str">
        <f t="shared" si="0"/>
        <v>31-Dec-21</v>
      </c>
      <c r="D15" t="s">
        <v>21</v>
      </c>
      <c r="E15" t="s">
        <v>22</v>
      </c>
      <c r="F15" t="str">
        <f>"6624471"</f>
        <v>6624471</v>
      </c>
      <c r="G15" t="s">
        <v>38</v>
      </c>
      <c r="I15" t="s">
        <v>24</v>
      </c>
      <c r="J15">
        <v>0.239406705</v>
      </c>
      <c r="K15">
        <v>140236</v>
      </c>
      <c r="L15">
        <v>1779971.81</v>
      </c>
      <c r="M15">
        <v>427224.96</v>
      </c>
      <c r="N15">
        <v>18.84</v>
      </c>
      <c r="O15">
        <v>2642046.24</v>
      </c>
      <c r="P15">
        <v>632523.58</v>
      </c>
      <c r="Q15">
        <v>0</v>
      </c>
      <c r="R15">
        <v>0</v>
      </c>
      <c r="S15">
        <v>0.314</v>
      </c>
      <c r="T15" t="s">
        <v>25</v>
      </c>
    </row>
    <row r="16" spans="1:20" ht="15">
      <c r="A16" t="s">
        <v>19</v>
      </c>
      <c r="B16" t="s">
        <v>20</v>
      </c>
      <c r="C16" t="str">
        <f t="shared" si="0"/>
        <v>31-Dec-21</v>
      </c>
      <c r="D16" t="s">
        <v>21</v>
      </c>
      <c r="E16" t="s">
        <v>39</v>
      </c>
      <c r="I16" t="s">
        <v>24</v>
      </c>
      <c r="J16">
        <v>0.239406705</v>
      </c>
      <c r="K16">
        <v>0</v>
      </c>
      <c r="L16">
        <v>37984.34</v>
      </c>
      <c r="M16">
        <v>9135.02</v>
      </c>
      <c r="N16">
        <v>0</v>
      </c>
      <c r="O16">
        <v>37984.34</v>
      </c>
      <c r="P16">
        <v>9093.71</v>
      </c>
      <c r="Q16">
        <v>0</v>
      </c>
      <c r="R16">
        <v>0</v>
      </c>
      <c r="S16">
        <v>0.005</v>
      </c>
      <c r="T16" t="s">
        <v>40</v>
      </c>
    </row>
    <row r="17" spans="1:20" ht="15">
      <c r="A17" t="s">
        <v>19</v>
      </c>
      <c r="B17" t="s">
        <v>20</v>
      </c>
      <c r="C17" t="str">
        <f t="shared" si="0"/>
        <v>31-Dec-21</v>
      </c>
      <c r="D17" t="s">
        <v>21</v>
      </c>
      <c r="E17" t="s">
        <v>22</v>
      </c>
      <c r="F17" t="str">
        <f>"B07C796"</f>
        <v>B07C796</v>
      </c>
      <c r="G17" t="s">
        <v>41</v>
      </c>
      <c r="I17" t="s">
        <v>42</v>
      </c>
      <c r="J17">
        <v>0.157873033</v>
      </c>
      <c r="K17">
        <v>6050</v>
      </c>
      <c r="L17">
        <v>76709.14</v>
      </c>
      <c r="M17">
        <v>17968.55</v>
      </c>
      <c r="N17">
        <v>37.02</v>
      </c>
      <c r="O17">
        <v>223971</v>
      </c>
      <c r="P17">
        <v>35358.98</v>
      </c>
      <c r="Q17">
        <v>0</v>
      </c>
      <c r="R17">
        <v>0</v>
      </c>
      <c r="S17">
        <v>0.018</v>
      </c>
      <c r="T17" t="s">
        <v>25</v>
      </c>
    </row>
    <row r="18" spans="1:20" ht="15">
      <c r="A18" t="s">
        <v>19</v>
      </c>
      <c r="B18" t="s">
        <v>20</v>
      </c>
      <c r="C18" t="str">
        <f t="shared" si="0"/>
        <v>31-Dec-21</v>
      </c>
      <c r="D18" t="s">
        <v>21</v>
      </c>
      <c r="E18" t="s">
        <v>22</v>
      </c>
      <c r="F18" t="str">
        <f>"BG7ZWY7"</f>
        <v>BG7ZWY7</v>
      </c>
      <c r="G18" t="s">
        <v>43</v>
      </c>
      <c r="I18" t="s">
        <v>42</v>
      </c>
      <c r="J18">
        <v>0.157873033</v>
      </c>
      <c r="K18">
        <v>144302</v>
      </c>
      <c r="L18">
        <v>2508058.52</v>
      </c>
      <c r="M18">
        <v>658288.2</v>
      </c>
      <c r="N18">
        <v>15.42</v>
      </c>
      <c r="O18">
        <v>2225136.84</v>
      </c>
      <c r="P18">
        <v>351289.1</v>
      </c>
      <c r="Q18">
        <v>0</v>
      </c>
      <c r="R18">
        <v>0</v>
      </c>
      <c r="S18">
        <v>0.174</v>
      </c>
      <c r="T18" t="s">
        <v>25</v>
      </c>
    </row>
    <row r="19" spans="1:20" ht="15">
      <c r="A19" t="s">
        <v>19</v>
      </c>
      <c r="B19" t="s">
        <v>20</v>
      </c>
      <c r="C19" t="str">
        <f t="shared" si="0"/>
        <v>31-Dec-21</v>
      </c>
      <c r="D19" t="s">
        <v>21</v>
      </c>
      <c r="E19" t="s">
        <v>22</v>
      </c>
      <c r="F19" t="str">
        <f>"BN925F7"</f>
        <v>BN925F7</v>
      </c>
      <c r="G19" t="s">
        <v>44</v>
      </c>
      <c r="I19" t="s">
        <v>42</v>
      </c>
      <c r="J19">
        <v>0.157873033</v>
      </c>
      <c r="K19">
        <v>14880</v>
      </c>
      <c r="L19">
        <v>634219.21</v>
      </c>
      <c r="M19">
        <v>146028.94</v>
      </c>
      <c r="N19">
        <v>31.58</v>
      </c>
      <c r="O19">
        <v>469910.4</v>
      </c>
      <c r="P19">
        <v>74186.18</v>
      </c>
      <c r="Q19">
        <v>0</v>
      </c>
      <c r="R19">
        <v>0</v>
      </c>
      <c r="S19">
        <v>0.037</v>
      </c>
      <c r="T19" t="s">
        <v>25</v>
      </c>
    </row>
    <row r="20" spans="1:20" ht="15">
      <c r="A20" t="s">
        <v>19</v>
      </c>
      <c r="B20" t="s">
        <v>20</v>
      </c>
      <c r="C20" t="str">
        <f t="shared" si="0"/>
        <v>31-Dec-21</v>
      </c>
      <c r="D20" t="s">
        <v>21</v>
      </c>
      <c r="E20" t="s">
        <v>22</v>
      </c>
      <c r="F20" t="str">
        <f>"BF7LBH4"</f>
        <v>BF7LBH4</v>
      </c>
      <c r="G20" t="s">
        <v>45</v>
      </c>
      <c r="I20" t="s">
        <v>42</v>
      </c>
      <c r="J20">
        <v>0.157873033</v>
      </c>
      <c r="K20">
        <v>7100</v>
      </c>
      <c r="L20">
        <v>119665.2</v>
      </c>
      <c r="M20">
        <v>27701.48</v>
      </c>
      <c r="N20">
        <v>15.25</v>
      </c>
      <c r="O20">
        <v>108275</v>
      </c>
      <c r="P20">
        <v>17093.7</v>
      </c>
      <c r="Q20">
        <v>0</v>
      </c>
      <c r="R20">
        <v>0</v>
      </c>
      <c r="S20">
        <v>0.008</v>
      </c>
      <c r="T20" t="s">
        <v>25</v>
      </c>
    </row>
    <row r="21" spans="1:20" ht="15">
      <c r="A21" t="s">
        <v>19</v>
      </c>
      <c r="B21" t="s">
        <v>20</v>
      </c>
      <c r="C21" t="str">
        <f t="shared" si="0"/>
        <v>31-Dec-21</v>
      </c>
      <c r="D21" t="s">
        <v>21</v>
      </c>
      <c r="E21" t="s">
        <v>22</v>
      </c>
      <c r="F21" t="str">
        <f>"BD97PR4"</f>
        <v>BD97PR4</v>
      </c>
      <c r="G21" t="s">
        <v>46</v>
      </c>
      <c r="I21" t="s">
        <v>42</v>
      </c>
      <c r="J21">
        <v>0.157873033</v>
      </c>
      <c r="K21">
        <v>9500</v>
      </c>
      <c r="L21">
        <v>260230.72</v>
      </c>
      <c r="M21">
        <v>58265.24</v>
      </c>
      <c r="N21">
        <v>24.36</v>
      </c>
      <c r="O21">
        <v>231420</v>
      </c>
      <c r="P21">
        <v>36534.98</v>
      </c>
      <c r="Q21">
        <v>0</v>
      </c>
      <c r="R21">
        <v>0</v>
      </c>
      <c r="S21">
        <v>0.018</v>
      </c>
      <c r="T21" t="s">
        <v>25</v>
      </c>
    </row>
    <row r="22" spans="1:20" ht="15">
      <c r="A22" t="s">
        <v>19</v>
      </c>
      <c r="B22" t="s">
        <v>20</v>
      </c>
      <c r="C22" t="str">
        <f t="shared" si="0"/>
        <v>31-Dec-21</v>
      </c>
      <c r="D22" t="s">
        <v>21</v>
      </c>
      <c r="E22" t="s">
        <v>22</v>
      </c>
      <c r="F22" t="str">
        <f>"BG36ZK1"</f>
        <v>BG36ZK1</v>
      </c>
      <c r="G22" t="s">
        <v>47</v>
      </c>
      <c r="I22" t="s">
        <v>42</v>
      </c>
      <c r="J22">
        <v>0.157873033</v>
      </c>
      <c r="K22">
        <v>205385</v>
      </c>
      <c r="L22">
        <v>1603604.46</v>
      </c>
      <c r="M22">
        <v>373197.75</v>
      </c>
      <c r="N22">
        <v>11.14</v>
      </c>
      <c r="O22">
        <v>2287988.9</v>
      </c>
      <c r="P22">
        <v>361211.75</v>
      </c>
      <c r="Q22">
        <v>0</v>
      </c>
      <c r="R22">
        <v>0</v>
      </c>
      <c r="S22">
        <v>0.179</v>
      </c>
      <c r="T22" t="s">
        <v>25</v>
      </c>
    </row>
    <row r="23" spans="1:20" ht="15">
      <c r="A23" t="s">
        <v>19</v>
      </c>
      <c r="B23" t="s">
        <v>20</v>
      </c>
      <c r="C23" t="str">
        <f t="shared" si="0"/>
        <v>31-Dec-21</v>
      </c>
      <c r="D23" t="s">
        <v>21</v>
      </c>
      <c r="E23" t="s">
        <v>22</v>
      </c>
      <c r="F23" t="str">
        <f>"B9N3SQ0"</f>
        <v>B9N3SQ0</v>
      </c>
      <c r="G23" t="s">
        <v>48</v>
      </c>
      <c r="I23" t="s">
        <v>42</v>
      </c>
      <c r="J23">
        <v>0.157873033</v>
      </c>
      <c r="K23">
        <v>22600</v>
      </c>
      <c r="L23">
        <v>614056.97</v>
      </c>
      <c r="M23">
        <v>171543.12</v>
      </c>
      <c r="N23">
        <v>20.75</v>
      </c>
      <c r="O23">
        <v>468950</v>
      </c>
      <c r="P23">
        <v>74034.56</v>
      </c>
      <c r="Q23">
        <v>0</v>
      </c>
      <c r="R23">
        <v>0</v>
      </c>
      <c r="S23">
        <v>0.037</v>
      </c>
      <c r="T23" t="s">
        <v>25</v>
      </c>
    </row>
    <row r="24" spans="1:20" ht="15">
      <c r="A24" t="s">
        <v>19</v>
      </c>
      <c r="B24" t="s">
        <v>20</v>
      </c>
      <c r="C24" t="str">
        <f t="shared" si="0"/>
        <v>31-Dec-21</v>
      </c>
      <c r="D24" t="s">
        <v>21</v>
      </c>
      <c r="E24" t="s">
        <v>22</v>
      </c>
      <c r="F24" t="str">
        <f>"B1RYG58"</f>
        <v>B1RYG58</v>
      </c>
      <c r="G24" t="s">
        <v>49</v>
      </c>
      <c r="I24" t="s">
        <v>42</v>
      </c>
      <c r="J24">
        <v>0.157873033</v>
      </c>
      <c r="K24">
        <v>15883</v>
      </c>
      <c r="L24">
        <v>176537.83</v>
      </c>
      <c r="M24">
        <v>45075.9</v>
      </c>
      <c r="N24">
        <v>8.31</v>
      </c>
      <c r="O24">
        <v>131987.73</v>
      </c>
      <c r="P24">
        <v>20837.3</v>
      </c>
      <c r="Q24">
        <v>0</v>
      </c>
      <c r="R24">
        <v>0</v>
      </c>
      <c r="S24">
        <v>0.01</v>
      </c>
      <c r="T24" t="s">
        <v>25</v>
      </c>
    </row>
    <row r="25" spans="1:20" ht="15">
      <c r="A25" t="s">
        <v>19</v>
      </c>
      <c r="B25" t="s">
        <v>20</v>
      </c>
      <c r="C25" t="str">
        <f t="shared" si="0"/>
        <v>31-Dec-21</v>
      </c>
      <c r="D25" t="s">
        <v>21</v>
      </c>
      <c r="E25" t="s">
        <v>22</v>
      </c>
      <c r="F25" t="str">
        <f>"2036995"</f>
        <v>2036995</v>
      </c>
      <c r="G25" t="s">
        <v>50</v>
      </c>
      <c r="I25" t="s">
        <v>42</v>
      </c>
      <c r="J25">
        <v>0.157873033</v>
      </c>
      <c r="K25">
        <v>25700</v>
      </c>
      <c r="L25">
        <v>1139576.5</v>
      </c>
      <c r="M25">
        <v>307023.54</v>
      </c>
      <c r="N25">
        <v>22.52</v>
      </c>
      <c r="O25">
        <v>578764</v>
      </c>
      <c r="P25">
        <v>91371.23</v>
      </c>
      <c r="Q25">
        <v>0</v>
      </c>
      <c r="R25">
        <v>0</v>
      </c>
      <c r="S25">
        <v>0.045</v>
      </c>
      <c r="T25" t="s">
        <v>25</v>
      </c>
    </row>
    <row r="26" spans="1:20" ht="15">
      <c r="A26" t="s">
        <v>19</v>
      </c>
      <c r="B26" t="s">
        <v>20</v>
      </c>
      <c r="C26" t="str">
        <f t="shared" si="0"/>
        <v>31-Dec-21</v>
      </c>
      <c r="D26" t="s">
        <v>21</v>
      </c>
      <c r="E26" t="s">
        <v>22</v>
      </c>
      <c r="F26" t="str">
        <f>"BZBZVC7"</f>
        <v>BZBZVC7</v>
      </c>
      <c r="G26" t="s">
        <v>51</v>
      </c>
      <c r="I26" t="s">
        <v>42</v>
      </c>
      <c r="J26">
        <v>0.157873033</v>
      </c>
      <c r="K26">
        <v>31952</v>
      </c>
      <c r="L26">
        <v>297248.08</v>
      </c>
      <c r="M26">
        <v>63286.76</v>
      </c>
      <c r="N26">
        <v>21</v>
      </c>
      <c r="O26">
        <v>670992</v>
      </c>
      <c r="P26">
        <v>105931.54</v>
      </c>
      <c r="Q26">
        <v>2166.03</v>
      </c>
      <c r="R26">
        <v>341.96</v>
      </c>
      <c r="S26">
        <v>0.053</v>
      </c>
      <c r="T26" t="s">
        <v>25</v>
      </c>
    </row>
    <row r="27" spans="1:20" ht="15">
      <c r="A27" t="s">
        <v>19</v>
      </c>
      <c r="B27" t="s">
        <v>20</v>
      </c>
      <c r="C27" t="str">
        <f t="shared" si="0"/>
        <v>31-Dec-21</v>
      </c>
      <c r="D27" t="s">
        <v>21</v>
      </c>
      <c r="E27" t="s">
        <v>22</v>
      </c>
      <c r="F27" t="str">
        <f>"B00FM86"</f>
        <v>B00FM86</v>
      </c>
      <c r="G27" t="s">
        <v>52</v>
      </c>
      <c r="I27" t="s">
        <v>42</v>
      </c>
      <c r="J27">
        <v>0.157873033</v>
      </c>
      <c r="K27">
        <v>36985</v>
      </c>
      <c r="L27">
        <v>696742.89</v>
      </c>
      <c r="M27">
        <v>154281.15</v>
      </c>
      <c r="N27">
        <v>16.19</v>
      </c>
      <c r="O27">
        <v>598787.15</v>
      </c>
      <c r="P27">
        <v>94532.34</v>
      </c>
      <c r="Q27">
        <v>637.98</v>
      </c>
      <c r="R27">
        <v>100.72</v>
      </c>
      <c r="S27">
        <v>0.047</v>
      </c>
      <c r="T27" t="s">
        <v>25</v>
      </c>
    </row>
    <row r="28" spans="1:20" ht="15">
      <c r="A28" t="s">
        <v>19</v>
      </c>
      <c r="B28" t="s">
        <v>20</v>
      </c>
      <c r="C28" t="str">
        <f t="shared" si="0"/>
        <v>31-Dec-21</v>
      </c>
      <c r="D28" t="s">
        <v>21</v>
      </c>
      <c r="E28" t="s">
        <v>22</v>
      </c>
      <c r="F28" t="str">
        <f>"B00FM53"</f>
        <v>B00FM53</v>
      </c>
      <c r="G28" t="s">
        <v>53</v>
      </c>
      <c r="I28" t="s">
        <v>42</v>
      </c>
      <c r="J28">
        <v>0.157873033</v>
      </c>
      <c r="K28">
        <v>156186</v>
      </c>
      <c r="L28">
        <v>2826613.89</v>
      </c>
      <c r="M28">
        <v>677467.57</v>
      </c>
      <c r="N28">
        <v>19.21</v>
      </c>
      <c r="O28">
        <v>3000333.06</v>
      </c>
      <c r="P28">
        <v>473671.68</v>
      </c>
      <c r="Q28">
        <v>2963.6</v>
      </c>
      <c r="R28">
        <v>467.87</v>
      </c>
      <c r="S28">
        <v>0.235</v>
      </c>
      <c r="T28" t="s">
        <v>25</v>
      </c>
    </row>
    <row r="29" spans="1:20" ht="15">
      <c r="A29" t="s">
        <v>19</v>
      </c>
      <c r="B29" t="s">
        <v>20</v>
      </c>
      <c r="C29" t="str">
        <f t="shared" si="0"/>
        <v>31-Dec-21</v>
      </c>
      <c r="D29" t="s">
        <v>21</v>
      </c>
      <c r="E29" t="s">
        <v>22</v>
      </c>
      <c r="F29" t="str">
        <f>"BKDV8R2"</f>
        <v>BKDV8R2</v>
      </c>
      <c r="G29" t="s">
        <v>54</v>
      </c>
      <c r="I29" t="s">
        <v>42</v>
      </c>
      <c r="J29">
        <v>0.157873033</v>
      </c>
      <c r="K29">
        <v>21840</v>
      </c>
      <c r="L29">
        <v>0</v>
      </c>
      <c r="M29">
        <v>0</v>
      </c>
      <c r="N29">
        <v>9.4</v>
      </c>
      <c r="O29">
        <v>205296</v>
      </c>
      <c r="P29">
        <v>32410.7</v>
      </c>
      <c r="Q29">
        <v>0</v>
      </c>
      <c r="R29">
        <v>0</v>
      </c>
      <c r="S29">
        <v>0.016</v>
      </c>
      <c r="T29" t="s">
        <v>25</v>
      </c>
    </row>
    <row r="30" spans="1:20" ht="15">
      <c r="A30" t="s">
        <v>19</v>
      </c>
      <c r="B30" t="s">
        <v>20</v>
      </c>
      <c r="C30" t="str">
        <f t="shared" si="0"/>
        <v>31-Dec-21</v>
      </c>
      <c r="D30" t="s">
        <v>21</v>
      </c>
      <c r="E30" t="s">
        <v>22</v>
      </c>
      <c r="F30" t="str">
        <f>"BD8ZFB3"</f>
        <v>BD8ZFB3</v>
      </c>
      <c r="G30" t="s">
        <v>55</v>
      </c>
      <c r="I30" t="s">
        <v>42</v>
      </c>
      <c r="J30">
        <v>0.157873033</v>
      </c>
      <c r="K30">
        <v>16220</v>
      </c>
      <c r="L30">
        <v>123026.4</v>
      </c>
      <c r="M30">
        <v>19946.55</v>
      </c>
      <c r="N30">
        <v>9.54</v>
      </c>
      <c r="O30">
        <v>154738.8</v>
      </c>
      <c r="P30">
        <v>24429.08</v>
      </c>
      <c r="Q30">
        <v>0</v>
      </c>
      <c r="R30">
        <v>0</v>
      </c>
      <c r="S30">
        <v>0.012</v>
      </c>
      <c r="T30" t="s">
        <v>25</v>
      </c>
    </row>
    <row r="31" spans="1:20" ht="15">
      <c r="A31" t="s">
        <v>19</v>
      </c>
      <c r="B31" t="s">
        <v>20</v>
      </c>
      <c r="C31" t="str">
        <f t="shared" si="0"/>
        <v>31-Dec-21</v>
      </c>
      <c r="D31" t="s">
        <v>21</v>
      </c>
      <c r="E31" t="s">
        <v>22</v>
      </c>
      <c r="F31" t="str">
        <f>"B4V5RY4"</f>
        <v>B4V5RY4</v>
      </c>
      <c r="G31" t="s">
        <v>56</v>
      </c>
      <c r="I31" t="s">
        <v>42</v>
      </c>
      <c r="J31">
        <v>0.157873033</v>
      </c>
      <c r="K31">
        <v>11700</v>
      </c>
      <c r="L31">
        <v>328545.16</v>
      </c>
      <c r="M31">
        <v>66640.44</v>
      </c>
      <c r="N31">
        <v>29.98</v>
      </c>
      <c r="O31">
        <v>350766</v>
      </c>
      <c r="P31">
        <v>55376.49</v>
      </c>
      <c r="Q31">
        <v>0</v>
      </c>
      <c r="R31">
        <v>0</v>
      </c>
      <c r="S31">
        <v>0.027</v>
      </c>
      <c r="T31" t="s">
        <v>25</v>
      </c>
    </row>
    <row r="32" spans="1:20" ht="15">
      <c r="A32" t="s">
        <v>19</v>
      </c>
      <c r="B32" t="s">
        <v>20</v>
      </c>
      <c r="C32" t="str">
        <f t="shared" si="0"/>
        <v>31-Dec-21</v>
      </c>
      <c r="D32" t="s">
        <v>21</v>
      </c>
      <c r="E32" t="s">
        <v>22</v>
      </c>
      <c r="F32" t="str">
        <f>"2328595"</f>
        <v>2328595</v>
      </c>
      <c r="G32" t="s">
        <v>57</v>
      </c>
      <c r="I32" t="s">
        <v>42</v>
      </c>
      <c r="J32">
        <v>0.157873033</v>
      </c>
      <c r="K32">
        <v>28700</v>
      </c>
      <c r="L32">
        <v>876700.02</v>
      </c>
      <c r="M32">
        <v>222497.35</v>
      </c>
      <c r="N32">
        <v>28.85</v>
      </c>
      <c r="O32">
        <v>827995</v>
      </c>
      <c r="P32">
        <v>130718.08</v>
      </c>
      <c r="Q32">
        <v>0</v>
      </c>
      <c r="R32">
        <v>0</v>
      </c>
      <c r="S32">
        <v>0.065</v>
      </c>
      <c r="T32" t="s">
        <v>25</v>
      </c>
    </row>
    <row r="33" spans="1:20" ht="15">
      <c r="A33" t="s">
        <v>19</v>
      </c>
      <c r="B33" t="s">
        <v>20</v>
      </c>
      <c r="C33" t="str">
        <f t="shared" si="0"/>
        <v>31-Dec-21</v>
      </c>
      <c r="D33" t="s">
        <v>21</v>
      </c>
      <c r="E33" t="s">
        <v>22</v>
      </c>
      <c r="F33" t="str">
        <f>"B01SCS4"</f>
        <v>B01SCS4</v>
      </c>
      <c r="G33" t="s">
        <v>58</v>
      </c>
      <c r="I33" t="s">
        <v>42</v>
      </c>
      <c r="J33">
        <v>0.157873033</v>
      </c>
      <c r="K33">
        <v>9650</v>
      </c>
      <c r="L33">
        <v>96782.95</v>
      </c>
      <c r="M33">
        <v>25881.42</v>
      </c>
      <c r="N33">
        <v>24.99</v>
      </c>
      <c r="O33">
        <v>241153.5</v>
      </c>
      <c r="P33">
        <v>38071.63</v>
      </c>
      <c r="Q33">
        <v>0</v>
      </c>
      <c r="R33">
        <v>0</v>
      </c>
      <c r="S33">
        <v>0.019</v>
      </c>
      <c r="T33" t="s">
        <v>25</v>
      </c>
    </row>
    <row r="34" spans="1:20" ht="15">
      <c r="A34" t="s">
        <v>19</v>
      </c>
      <c r="B34" t="s">
        <v>20</v>
      </c>
      <c r="C34" t="str">
        <f t="shared" si="0"/>
        <v>31-Dec-21</v>
      </c>
      <c r="D34" t="s">
        <v>21</v>
      </c>
      <c r="E34" t="s">
        <v>22</v>
      </c>
      <c r="F34" t="str">
        <f>"B0774N4"</f>
        <v>B0774N4</v>
      </c>
      <c r="G34" t="s">
        <v>59</v>
      </c>
      <c r="I34" t="s">
        <v>42</v>
      </c>
      <c r="J34">
        <v>0.157873033</v>
      </c>
      <c r="K34">
        <v>6900</v>
      </c>
      <c r="L34">
        <v>194317.52</v>
      </c>
      <c r="M34">
        <v>52886.2</v>
      </c>
      <c r="N34">
        <v>57.63</v>
      </c>
      <c r="O34">
        <v>397647</v>
      </c>
      <c r="P34">
        <v>62777.74</v>
      </c>
      <c r="Q34">
        <v>0</v>
      </c>
      <c r="R34">
        <v>0</v>
      </c>
      <c r="S34">
        <v>0.031</v>
      </c>
      <c r="T34" t="s">
        <v>25</v>
      </c>
    </row>
    <row r="35" spans="1:20" ht="15">
      <c r="A35" t="s">
        <v>19</v>
      </c>
      <c r="B35" t="s">
        <v>20</v>
      </c>
      <c r="C35" t="str">
        <f t="shared" si="0"/>
        <v>31-Dec-21</v>
      </c>
      <c r="D35" t="s">
        <v>21</v>
      </c>
      <c r="E35" t="s">
        <v>22</v>
      </c>
      <c r="F35" t="str">
        <f>"2840970"</f>
        <v>2840970</v>
      </c>
      <c r="G35" t="s">
        <v>60</v>
      </c>
      <c r="I35" t="s">
        <v>42</v>
      </c>
      <c r="J35">
        <v>0.157873033</v>
      </c>
      <c r="K35">
        <v>31737</v>
      </c>
      <c r="L35">
        <v>540948</v>
      </c>
      <c r="M35">
        <v>152254.1</v>
      </c>
      <c r="N35">
        <v>11.59</v>
      </c>
      <c r="O35">
        <v>367831.83</v>
      </c>
      <c r="P35">
        <v>58070.73</v>
      </c>
      <c r="Q35">
        <v>0</v>
      </c>
      <c r="R35">
        <v>0</v>
      </c>
      <c r="S35">
        <v>0.029</v>
      </c>
      <c r="T35" t="s">
        <v>25</v>
      </c>
    </row>
    <row r="36" spans="1:20" ht="15">
      <c r="A36" t="s">
        <v>19</v>
      </c>
      <c r="B36" t="s">
        <v>20</v>
      </c>
      <c r="C36" t="str">
        <f t="shared" si="0"/>
        <v>31-Dec-21</v>
      </c>
      <c r="D36" t="s">
        <v>21</v>
      </c>
      <c r="E36" t="s">
        <v>22</v>
      </c>
      <c r="F36" t="str">
        <f>"B031NN3"</f>
        <v>B031NN3</v>
      </c>
      <c r="G36" t="s">
        <v>61</v>
      </c>
      <c r="I36" t="s">
        <v>42</v>
      </c>
      <c r="J36">
        <v>0.157873033</v>
      </c>
      <c r="K36">
        <v>8700</v>
      </c>
      <c r="L36">
        <v>278939.66</v>
      </c>
      <c r="M36">
        <v>60919.81</v>
      </c>
      <c r="N36">
        <v>26.83</v>
      </c>
      <c r="O36">
        <v>233421</v>
      </c>
      <c r="P36">
        <v>36850.88</v>
      </c>
      <c r="Q36">
        <v>0</v>
      </c>
      <c r="R36">
        <v>0</v>
      </c>
      <c r="S36">
        <v>0.018</v>
      </c>
      <c r="T36" t="s">
        <v>25</v>
      </c>
    </row>
    <row r="37" spans="1:20" ht="15">
      <c r="A37" t="s">
        <v>19</v>
      </c>
      <c r="B37" t="s">
        <v>20</v>
      </c>
      <c r="C37" t="str">
        <f t="shared" si="0"/>
        <v>31-Dec-21</v>
      </c>
      <c r="D37" t="s">
        <v>21</v>
      </c>
      <c r="E37" t="s">
        <v>22</v>
      </c>
      <c r="F37" t="str">
        <f>"2311120"</f>
        <v>2311120</v>
      </c>
      <c r="G37" t="s">
        <v>62</v>
      </c>
      <c r="I37" t="s">
        <v>42</v>
      </c>
      <c r="J37">
        <v>0.157873033</v>
      </c>
      <c r="K37">
        <v>20800</v>
      </c>
      <c r="L37">
        <v>538791.7</v>
      </c>
      <c r="M37">
        <v>103504.49</v>
      </c>
      <c r="N37">
        <v>33.41</v>
      </c>
      <c r="O37">
        <v>694928</v>
      </c>
      <c r="P37">
        <v>109710.39</v>
      </c>
      <c r="Q37">
        <v>0</v>
      </c>
      <c r="R37">
        <v>0</v>
      </c>
      <c r="S37">
        <v>0.054</v>
      </c>
      <c r="T37" t="s">
        <v>25</v>
      </c>
    </row>
    <row r="38" spans="1:20" ht="15">
      <c r="A38" t="s">
        <v>19</v>
      </c>
      <c r="B38" t="s">
        <v>20</v>
      </c>
      <c r="C38" t="str">
        <f t="shared" si="0"/>
        <v>31-Dec-21</v>
      </c>
      <c r="D38" t="s">
        <v>21</v>
      </c>
      <c r="E38" t="s">
        <v>22</v>
      </c>
      <c r="F38" t="str">
        <f>"2308445"</f>
        <v>2308445</v>
      </c>
      <c r="G38" t="s">
        <v>63</v>
      </c>
      <c r="I38" t="s">
        <v>42</v>
      </c>
      <c r="J38">
        <v>0.157873033</v>
      </c>
      <c r="K38">
        <v>9500</v>
      </c>
      <c r="L38">
        <v>176367.39</v>
      </c>
      <c r="M38">
        <v>38086.49</v>
      </c>
      <c r="N38">
        <v>33.01</v>
      </c>
      <c r="O38">
        <v>313595</v>
      </c>
      <c r="P38">
        <v>49508.19</v>
      </c>
      <c r="Q38">
        <v>0</v>
      </c>
      <c r="R38">
        <v>0</v>
      </c>
      <c r="S38">
        <v>0.025</v>
      </c>
      <c r="T38" t="s">
        <v>25</v>
      </c>
    </row>
    <row r="39" spans="1:20" ht="15">
      <c r="A39" t="s">
        <v>19</v>
      </c>
      <c r="B39" t="s">
        <v>20</v>
      </c>
      <c r="C39" t="str">
        <f t="shared" si="0"/>
        <v>31-Dec-21</v>
      </c>
      <c r="D39" t="s">
        <v>21</v>
      </c>
      <c r="E39" t="s">
        <v>22</v>
      </c>
      <c r="F39" t="str">
        <f>"2667793"</f>
        <v>2667793</v>
      </c>
      <c r="G39" t="s">
        <v>64</v>
      </c>
      <c r="I39" t="s">
        <v>42</v>
      </c>
      <c r="J39">
        <v>0.157873033</v>
      </c>
      <c r="K39">
        <v>8400</v>
      </c>
      <c r="L39">
        <v>122953.11</v>
      </c>
      <c r="M39">
        <v>31390.1</v>
      </c>
      <c r="N39">
        <v>21.73</v>
      </c>
      <c r="O39">
        <v>182532</v>
      </c>
      <c r="P39">
        <v>28816.88</v>
      </c>
      <c r="Q39">
        <v>0</v>
      </c>
      <c r="R39">
        <v>0</v>
      </c>
      <c r="S39">
        <v>0.014</v>
      </c>
      <c r="T39" t="s">
        <v>25</v>
      </c>
    </row>
    <row r="40" spans="1:20" ht="15">
      <c r="A40" t="s">
        <v>19</v>
      </c>
      <c r="B40" t="s">
        <v>20</v>
      </c>
      <c r="C40" t="str">
        <f t="shared" si="0"/>
        <v>31-Dec-21</v>
      </c>
      <c r="D40" t="s">
        <v>21</v>
      </c>
      <c r="E40" t="s">
        <v>22</v>
      </c>
      <c r="F40" t="str">
        <f>"B1YBRG0"</f>
        <v>B1YBRG0</v>
      </c>
      <c r="G40" t="s">
        <v>65</v>
      </c>
      <c r="I40" t="s">
        <v>42</v>
      </c>
      <c r="J40">
        <v>0.157873033</v>
      </c>
      <c r="K40">
        <v>45155</v>
      </c>
      <c r="L40">
        <v>420340.12</v>
      </c>
      <c r="M40">
        <v>106179.28</v>
      </c>
      <c r="N40">
        <v>13.11</v>
      </c>
      <c r="O40">
        <v>591982.05</v>
      </c>
      <c r="P40">
        <v>93458</v>
      </c>
      <c r="Q40">
        <v>25483.24</v>
      </c>
      <c r="R40">
        <v>4023.12</v>
      </c>
      <c r="S40">
        <v>0.048</v>
      </c>
      <c r="T40" t="s">
        <v>25</v>
      </c>
    </row>
    <row r="41" spans="1:20" ht="15">
      <c r="A41" t="s">
        <v>19</v>
      </c>
      <c r="B41" t="s">
        <v>20</v>
      </c>
      <c r="C41" t="str">
        <f t="shared" si="0"/>
        <v>31-Dec-21</v>
      </c>
      <c r="D41" t="s">
        <v>21</v>
      </c>
      <c r="E41" t="s">
        <v>22</v>
      </c>
      <c r="F41" t="str">
        <f>"B17MHG0"</f>
        <v>B17MHG0</v>
      </c>
      <c r="G41" t="s">
        <v>66</v>
      </c>
      <c r="I41" t="s">
        <v>42</v>
      </c>
      <c r="J41">
        <v>0.157873033</v>
      </c>
      <c r="K41">
        <v>5200</v>
      </c>
      <c r="L41">
        <v>145645.79</v>
      </c>
      <c r="M41">
        <v>25782.52</v>
      </c>
      <c r="N41">
        <v>21.51</v>
      </c>
      <c r="O41">
        <v>111852</v>
      </c>
      <c r="P41">
        <v>17658.41</v>
      </c>
      <c r="Q41">
        <v>0</v>
      </c>
      <c r="R41">
        <v>0</v>
      </c>
      <c r="S41">
        <v>0.009</v>
      </c>
      <c r="T41" t="s">
        <v>25</v>
      </c>
    </row>
    <row r="42" spans="1:20" ht="15">
      <c r="A42" t="s">
        <v>19</v>
      </c>
      <c r="B42" t="s">
        <v>20</v>
      </c>
      <c r="C42" t="str">
        <f t="shared" si="0"/>
        <v>31-Dec-21</v>
      </c>
      <c r="D42" t="s">
        <v>21</v>
      </c>
      <c r="E42" t="s">
        <v>22</v>
      </c>
      <c r="F42" t="str">
        <f>"2192831"</f>
        <v>2192831</v>
      </c>
      <c r="G42" t="s">
        <v>67</v>
      </c>
      <c r="I42" t="s">
        <v>42</v>
      </c>
      <c r="J42">
        <v>0.157873033</v>
      </c>
      <c r="K42">
        <v>10000</v>
      </c>
      <c r="L42">
        <v>60800.74</v>
      </c>
      <c r="M42">
        <v>13224.7</v>
      </c>
      <c r="N42">
        <v>6.12</v>
      </c>
      <c r="O42">
        <v>61200</v>
      </c>
      <c r="P42">
        <v>9661.83</v>
      </c>
      <c r="Q42">
        <v>0</v>
      </c>
      <c r="R42">
        <v>0</v>
      </c>
      <c r="S42">
        <v>0.005</v>
      </c>
      <c r="T42" t="s">
        <v>25</v>
      </c>
    </row>
    <row r="43" spans="1:20" ht="15">
      <c r="A43" t="s">
        <v>19</v>
      </c>
      <c r="B43" t="s">
        <v>20</v>
      </c>
      <c r="C43" t="str">
        <f t="shared" si="0"/>
        <v>31-Dec-21</v>
      </c>
      <c r="D43" t="s">
        <v>21</v>
      </c>
      <c r="E43" t="s">
        <v>22</v>
      </c>
      <c r="F43" t="str">
        <f>"2200154"</f>
        <v>2200154</v>
      </c>
      <c r="G43" t="s">
        <v>68</v>
      </c>
      <c r="I43" t="s">
        <v>42</v>
      </c>
      <c r="J43">
        <v>0.157873033</v>
      </c>
      <c r="K43">
        <v>42300</v>
      </c>
      <c r="L43">
        <v>173626.18</v>
      </c>
      <c r="M43">
        <v>37896.81</v>
      </c>
      <c r="N43">
        <v>6.44</v>
      </c>
      <c r="O43">
        <v>272412</v>
      </c>
      <c r="P43">
        <v>43006.51</v>
      </c>
      <c r="Q43">
        <v>0</v>
      </c>
      <c r="R43">
        <v>0</v>
      </c>
      <c r="S43">
        <v>0.021</v>
      </c>
      <c r="T43" t="s">
        <v>25</v>
      </c>
    </row>
    <row r="44" spans="1:20" ht="15">
      <c r="A44" t="s">
        <v>19</v>
      </c>
      <c r="B44" t="s">
        <v>20</v>
      </c>
      <c r="C44" t="str">
        <f t="shared" si="0"/>
        <v>31-Dec-21</v>
      </c>
      <c r="D44" t="s">
        <v>21</v>
      </c>
      <c r="E44" t="s">
        <v>22</v>
      </c>
      <c r="F44" t="str">
        <f>"B019KX8"</f>
        <v>B019KX8</v>
      </c>
      <c r="G44" t="s">
        <v>69</v>
      </c>
      <c r="I44" t="s">
        <v>42</v>
      </c>
      <c r="J44">
        <v>0.157873033</v>
      </c>
      <c r="K44">
        <v>21900</v>
      </c>
      <c r="L44">
        <v>279885.22</v>
      </c>
      <c r="M44">
        <v>72522.25</v>
      </c>
      <c r="N44">
        <v>24.99</v>
      </c>
      <c r="O44">
        <v>547281</v>
      </c>
      <c r="P44">
        <v>86400.91</v>
      </c>
      <c r="Q44">
        <v>0</v>
      </c>
      <c r="R44">
        <v>0</v>
      </c>
      <c r="S44">
        <v>0.043</v>
      </c>
      <c r="T44" t="s">
        <v>25</v>
      </c>
    </row>
    <row r="45" spans="1:20" ht="15">
      <c r="A45" t="s">
        <v>19</v>
      </c>
      <c r="B45" t="s">
        <v>20</v>
      </c>
      <c r="C45" t="str">
        <f t="shared" si="0"/>
        <v>31-Dec-21</v>
      </c>
      <c r="D45" t="s">
        <v>21</v>
      </c>
      <c r="E45" t="s">
        <v>22</v>
      </c>
      <c r="F45" t="str">
        <f>"B82CQN4"</f>
        <v>B82CQN4</v>
      </c>
      <c r="G45" t="s">
        <v>70</v>
      </c>
      <c r="I45" t="s">
        <v>42</v>
      </c>
      <c r="J45">
        <v>0.157873033</v>
      </c>
      <c r="K45">
        <v>11000</v>
      </c>
      <c r="L45">
        <v>238008.59</v>
      </c>
      <c r="M45">
        <v>47258.43</v>
      </c>
      <c r="N45">
        <v>23.51</v>
      </c>
      <c r="O45">
        <v>258610</v>
      </c>
      <c r="P45">
        <v>40827.55</v>
      </c>
      <c r="Q45">
        <v>1314.59</v>
      </c>
      <c r="R45">
        <v>207.54</v>
      </c>
      <c r="S45">
        <v>0.02</v>
      </c>
      <c r="T45" t="s">
        <v>25</v>
      </c>
    </row>
    <row r="46" spans="1:20" ht="15">
      <c r="A46" t="s">
        <v>19</v>
      </c>
      <c r="B46" t="s">
        <v>20</v>
      </c>
      <c r="C46" t="str">
        <f t="shared" si="0"/>
        <v>31-Dec-21</v>
      </c>
      <c r="D46" t="s">
        <v>21</v>
      </c>
      <c r="E46" t="s">
        <v>22</v>
      </c>
      <c r="F46" t="str">
        <f>"B1YCHL8"</f>
        <v>B1YCHL8</v>
      </c>
      <c r="G46" t="s">
        <v>71</v>
      </c>
      <c r="I46" t="s">
        <v>42</v>
      </c>
      <c r="J46">
        <v>0.157873033</v>
      </c>
      <c r="K46">
        <v>11600</v>
      </c>
      <c r="L46">
        <v>270269.43</v>
      </c>
      <c r="M46">
        <v>74329.95</v>
      </c>
      <c r="N46">
        <v>40.18</v>
      </c>
      <c r="O46">
        <v>466088</v>
      </c>
      <c r="P46">
        <v>73582.73</v>
      </c>
      <c r="Q46">
        <v>0</v>
      </c>
      <c r="R46">
        <v>0</v>
      </c>
      <c r="S46">
        <v>0.036</v>
      </c>
      <c r="T46" t="s">
        <v>25</v>
      </c>
    </row>
    <row r="47" spans="1:20" ht="15">
      <c r="A47" t="s">
        <v>19</v>
      </c>
      <c r="B47" t="s">
        <v>20</v>
      </c>
      <c r="C47" t="str">
        <f t="shared" si="0"/>
        <v>31-Dec-21</v>
      </c>
      <c r="D47" t="s">
        <v>21</v>
      </c>
      <c r="E47" t="s">
        <v>22</v>
      </c>
      <c r="F47" t="str">
        <f>"BF0WB74"</f>
        <v>BF0WB74</v>
      </c>
      <c r="G47" t="s">
        <v>72</v>
      </c>
      <c r="I47" t="s">
        <v>42</v>
      </c>
      <c r="J47">
        <v>0.157873033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8148.64</v>
      </c>
      <c r="R47">
        <v>1286.45</v>
      </c>
      <c r="S47">
        <v>0.001</v>
      </c>
      <c r="T47" t="s">
        <v>25</v>
      </c>
    </row>
    <row r="48" spans="1:20" ht="15">
      <c r="A48" t="s">
        <v>19</v>
      </c>
      <c r="B48" t="s">
        <v>20</v>
      </c>
      <c r="C48" t="str">
        <f t="shared" si="0"/>
        <v>31-Dec-21</v>
      </c>
      <c r="D48" t="s">
        <v>21</v>
      </c>
      <c r="E48" t="s">
        <v>22</v>
      </c>
      <c r="F48" t="str">
        <f>"2440972"</f>
        <v>2440972</v>
      </c>
      <c r="G48" t="s">
        <v>73</v>
      </c>
      <c r="I48" t="s">
        <v>42</v>
      </c>
      <c r="J48">
        <v>0.157873033</v>
      </c>
      <c r="K48">
        <v>3856</v>
      </c>
      <c r="L48">
        <v>43165.13</v>
      </c>
      <c r="M48">
        <v>11945.54</v>
      </c>
      <c r="N48">
        <v>24.31</v>
      </c>
      <c r="O48">
        <v>93739.36</v>
      </c>
      <c r="P48">
        <v>14798.92</v>
      </c>
      <c r="Q48">
        <v>670.54</v>
      </c>
      <c r="R48">
        <v>105.86</v>
      </c>
      <c r="S48">
        <v>0.007</v>
      </c>
      <c r="T48" t="s">
        <v>25</v>
      </c>
    </row>
    <row r="49" spans="1:20" ht="15">
      <c r="A49" t="s">
        <v>19</v>
      </c>
      <c r="B49" t="s">
        <v>20</v>
      </c>
      <c r="C49" t="str">
        <f t="shared" si="0"/>
        <v>31-Dec-21</v>
      </c>
      <c r="D49" t="s">
        <v>21</v>
      </c>
      <c r="E49" t="s">
        <v>22</v>
      </c>
      <c r="F49" t="str">
        <f>"B614LY3"</f>
        <v>B614LY3</v>
      </c>
      <c r="G49" t="s">
        <v>74</v>
      </c>
      <c r="I49" t="s">
        <v>42</v>
      </c>
      <c r="J49">
        <v>0.157873033</v>
      </c>
      <c r="K49">
        <v>51854</v>
      </c>
      <c r="L49">
        <v>1101144.53</v>
      </c>
      <c r="M49">
        <v>317544.31</v>
      </c>
      <c r="N49">
        <v>2.28</v>
      </c>
      <c r="O49">
        <v>118227.12</v>
      </c>
      <c r="P49">
        <v>18664.87</v>
      </c>
      <c r="Q49">
        <v>4524.7</v>
      </c>
      <c r="R49">
        <v>714.33</v>
      </c>
      <c r="S49">
        <v>0.01</v>
      </c>
      <c r="T49" t="s">
        <v>25</v>
      </c>
    </row>
    <row r="50" spans="1:20" ht="15">
      <c r="A50" t="s">
        <v>19</v>
      </c>
      <c r="B50" t="s">
        <v>20</v>
      </c>
      <c r="C50" t="str">
        <f t="shared" si="0"/>
        <v>31-Dec-21</v>
      </c>
      <c r="D50" t="s">
        <v>21</v>
      </c>
      <c r="E50" t="s">
        <v>22</v>
      </c>
      <c r="F50" t="str">
        <f>"BHNWPB7"</f>
        <v>BHNWPB7</v>
      </c>
      <c r="G50" t="s">
        <v>75</v>
      </c>
      <c r="I50" t="s">
        <v>42</v>
      </c>
      <c r="J50">
        <v>0.157873033</v>
      </c>
      <c r="K50">
        <v>42780</v>
      </c>
      <c r="L50">
        <v>429446.84</v>
      </c>
      <c r="M50">
        <v>113110.57</v>
      </c>
      <c r="N50">
        <v>2.46</v>
      </c>
      <c r="O50">
        <v>105238.8</v>
      </c>
      <c r="P50">
        <v>16614.37</v>
      </c>
      <c r="Q50">
        <v>0</v>
      </c>
      <c r="R50">
        <v>0</v>
      </c>
      <c r="S50">
        <v>0.008</v>
      </c>
      <c r="T50" t="s">
        <v>25</v>
      </c>
    </row>
    <row r="51" spans="1:20" ht="15">
      <c r="A51" t="s">
        <v>19</v>
      </c>
      <c r="B51" t="s">
        <v>20</v>
      </c>
      <c r="C51" t="str">
        <f t="shared" si="0"/>
        <v>31-Dec-21</v>
      </c>
      <c r="D51" t="s">
        <v>21</v>
      </c>
      <c r="E51" t="s">
        <v>22</v>
      </c>
      <c r="F51" t="str">
        <f>"B0P72G5"</f>
        <v>B0P72G5</v>
      </c>
      <c r="G51" t="s">
        <v>76</v>
      </c>
      <c r="I51" t="s">
        <v>42</v>
      </c>
      <c r="J51">
        <v>0.157873033</v>
      </c>
      <c r="K51">
        <v>42060</v>
      </c>
      <c r="L51">
        <v>819030.07</v>
      </c>
      <c r="M51">
        <v>144257.66</v>
      </c>
      <c r="N51">
        <v>21.69</v>
      </c>
      <c r="O51">
        <v>912281.4</v>
      </c>
      <c r="P51">
        <v>144024.63</v>
      </c>
      <c r="Q51">
        <v>0</v>
      </c>
      <c r="R51">
        <v>0</v>
      </c>
      <c r="S51">
        <v>0.071</v>
      </c>
      <c r="T51" t="s">
        <v>25</v>
      </c>
    </row>
    <row r="52" spans="1:20" ht="15">
      <c r="A52" t="s">
        <v>19</v>
      </c>
      <c r="B52" t="s">
        <v>20</v>
      </c>
      <c r="C52" t="str">
        <f t="shared" si="0"/>
        <v>31-Dec-21</v>
      </c>
      <c r="D52" t="s">
        <v>21</v>
      </c>
      <c r="E52" t="s">
        <v>22</v>
      </c>
      <c r="F52" t="str">
        <f>"BN7F4X9"</f>
        <v>BN7F4X9</v>
      </c>
      <c r="G52" t="s">
        <v>77</v>
      </c>
      <c r="I52" t="s">
        <v>42</v>
      </c>
      <c r="J52">
        <v>0.157873033</v>
      </c>
      <c r="K52">
        <v>3080</v>
      </c>
      <c r="L52">
        <v>43258.46</v>
      </c>
      <c r="M52">
        <v>9151.64</v>
      </c>
      <c r="N52">
        <v>14.96</v>
      </c>
      <c r="O52">
        <v>46076.8</v>
      </c>
      <c r="P52">
        <v>7274.28</v>
      </c>
      <c r="Q52">
        <v>0</v>
      </c>
      <c r="R52">
        <v>0</v>
      </c>
      <c r="S52">
        <v>0.004</v>
      </c>
      <c r="T52" t="s">
        <v>25</v>
      </c>
    </row>
    <row r="53" spans="1:20" ht="15">
      <c r="A53" t="s">
        <v>19</v>
      </c>
      <c r="B53" t="s">
        <v>20</v>
      </c>
      <c r="C53" t="str">
        <f t="shared" si="0"/>
        <v>31-Dec-21</v>
      </c>
      <c r="D53" t="s">
        <v>21</v>
      </c>
      <c r="E53" t="s">
        <v>22</v>
      </c>
      <c r="F53" t="str">
        <f>"B0D7494"</f>
        <v>B0D7494</v>
      </c>
      <c r="G53" t="s">
        <v>78</v>
      </c>
      <c r="I53" t="s">
        <v>42</v>
      </c>
      <c r="J53">
        <v>0.157873033</v>
      </c>
      <c r="K53">
        <v>13521</v>
      </c>
      <c r="L53">
        <v>177214.41</v>
      </c>
      <c r="M53">
        <v>46466.19</v>
      </c>
      <c r="N53">
        <v>20.94</v>
      </c>
      <c r="O53">
        <v>283129.74</v>
      </c>
      <c r="P53">
        <v>44698.55</v>
      </c>
      <c r="Q53">
        <v>0</v>
      </c>
      <c r="R53">
        <v>0</v>
      </c>
      <c r="S53">
        <v>0.022</v>
      </c>
      <c r="T53" t="s">
        <v>25</v>
      </c>
    </row>
    <row r="54" spans="1:20" ht="15">
      <c r="A54" t="s">
        <v>19</v>
      </c>
      <c r="B54" t="s">
        <v>20</v>
      </c>
      <c r="C54" t="str">
        <f t="shared" si="0"/>
        <v>31-Dec-21</v>
      </c>
      <c r="D54" t="s">
        <v>21</v>
      </c>
      <c r="E54" t="s">
        <v>22</v>
      </c>
      <c r="F54" t="str">
        <f>"B16FPG6"</f>
        <v>B16FPG6</v>
      </c>
      <c r="G54" t="s">
        <v>79</v>
      </c>
      <c r="I54" t="s">
        <v>42</v>
      </c>
      <c r="J54">
        <v>0.157873033</v>
      </c>
      <c r="K54">
        <v>23400</v>
      </c>
      <c r="L54">
        <v>488982.87</v>
      </c>
      <c r="M54">
        <v>78361.47</v>
      </c>
      <c r="N54">
        <v>24.82</v>
      </c>
      <c r="O54">
        <v>580788</v>
      </c>
      <c r="P54">
        <v>91690.76</v>
      </c>
      <c r="Q54">
        <v>0</v>
      </c>
      <c r="R54">
        <v>0</v>
      </c>
      <c r="S54">
        <v>0.045</v>
      </c>
      <c r="T54" t="s">
        <v>25</v>
      </c>
    </row>
    <row r="55" spans="1:20" ht="15">
      <c r="A55" t="s">
        <v>19</v>
      </c>
      <c r="B55" t="s">
        <v>20</v>
      </c>
      <c r="C55" t="str">
        <f t="shared" si="0"/>
        <v>31-Dec-21</v>
      </c>
      <c r="D55" t="s">
        <v>21</v>
      </c>
      <c r="E55" t="s">
        <v>22</v>
      </c>
      <c r="F55" t="str">
        <f>"B56XQT8"</f>
        <v>B56XQT8</v>
      </c>
      <c r="G55" t="s">
        <v>80</v>
      </c>
      <c r="I55" t="s">
        <v>42</v>
      </c>
      <c r="J55">
        <v>0.157873033</v>
      </c>
      <c r="K55">
        <v>11700</v>
      </c>
      <c r="L55">
        <v>392397.94</v>
      </c>
      <c r="M55">
        <v>92924.13</v>
      </c>
      <c r="N55">
        <v>44.37</v>
      </c>
      <c r="O55">
        <v>519129</v>
      </c>
      <c r="P55">
        <v>81956.47</v>
      </c>
      <c r="Q55">
        <v>0</v>
      </c>
      <c r="R55">
        <v>0</v>
      </c>
      <c r="S55">
        <v>0.041</v>
      </c>
      <c r="T55" t="s">
        <v>25</v>
      </c>
    </row>
    <row r="56" spans="1:20" ht="15">
      <c r="A56" t="s">
        <v>19</v>
      </c>
      <c r="B56" t="s">
        <v>20</v>
      </c>
      <c r="C56" t="str">
        <f t="shared" si="0"/>
        <v>31-Dec-21</v>
      </c>
      <c r="D56" t="s">
        <v>21</v>
      </c>
      <c r="E56" t="s">
        <v>22</v>
      </c>
      <c r="F56" t="str">
        <f>"BFWHKM5"</f>
        <v>BFWHKM5</v>
      </c>
      <c r="G56" t="s">
        <v>81</v>
      </c>
      <c r="I56" t="s">
        <v>42</v>
      </c>
      <c r="J56">
        <v>0.157873033</v>
      </c>
      <c r="K56">
        <v>34400</v>
      </c>
      <c r="L56">
        <v>315027.46</v>
      </c>
      <c r="M56">
        <v>54543.05</v>
      </c>
      <c r="N56">
        <v>14.15</v>
      </c>
      <c r="O56">
        <v>486760</v>
      </c>
      <c r="P56">
        <v>76846.28</v>
      </c>
      <c r="Q56">
        <v>0</v>
      </c>
      <c r="R56">
        <v>0</v>
      </c>
      <c r="S56">
        <v>0.038</v>
      </c>
      <c r="T56" t="s">
        <v>25</v>
      </c>
    </row>
    <row r="57" spans="1:20" ht="15">
      <c r="A57" t="s">
        <v>19</v>
      </c>
      <c r="B57" t="s">
        <v>20</v>
      </c>
      <c r="C57" t="str">
        <f t="shared" si="0"/>
        <v>31-Dec-21</v>
      </c>
      <c r="D57" t="s">
        <v>21</v>
      </c>
      <c r="E57" t="s">
        <v>22</v>
      </c>
      <c r="F57" t="str">
        <f>"BD1WX84"</f>
        <v>BD1WX84</v>
      </c>
      <c r="G57" t="s">
        <v>82</v>
      </c>
      <c r="I57" t="s">
        <v>42</v>
      </c>
      <c r="J57">
        <v>0.157873033</v>
      </c>
      <c r="K57">
        <v>5500</v>
      </c>
      <c r="L57">
        <v>193472.88</v>
      </c>
      <c r="M57">
        <v>45914.07</v>
      </c>
      <c r="N57">
        <v>38.41</v>
      </c>
      <c r="O57">
        <v>211255</v>
      </c>
      <c r="P57">
        <v>33351.47</v>
      </c>
      <c r="Q57">
        <v>404.45</v>
      </c>
      <c r="R57">
        <v>63.85</v>
      </c>
      <c r="S57">
        <v>0.017</v>
      </c>
      <c r="T57" t="s">
        <v>25</v>
      </c>
    </row>
    <row r="58" spans="1:20" ht="15">
      <c r="A58" t="s">
        <v>19</v>
      </c>
      <c r="B58" t="s">
        <v>20</v>
      </c>
      <c r="C58" t="str">
        <f t="shared" si="0"/>
        <v>31-Dec-21</v>
      </c>
      <c r="D58" t="s">
        <v>21</v>
      </c>
      <c r="E58" t="s">
        <v>22</v>
      </c>
      <c r="F58" t="str">
        <f>"B128R96"</f>
        <v>B128R96</v>
      </c>
      <c r="G58" t="s">
        <v>83</v>
      </c>
      <c r="I58" t="s">
        <v>42</v>
      </c>
      <c r="J58">
        <v>0.157873033</v>
      </c>
      <c r="K58">
        <v>32400</v>
      </c>
      <c r="L58">
        <v>358232.42</v>
      </c>
      <c r="M58">
        <v>81816.81</v>
      </c>
      <c r="N58">
        <v>22.61</v>
      </c>
      <c r="O58">
        <v>732564</v>
      </c>
      <c r="P58">
        <v>115652.1</v>
      </c>
      <c r="Q58">
        <v>0</v>
      </c>
      <c r="R58">
        <v>0</v>
      </c>
      <c r="S58">
        <v>0.057</v>
      </c>
      <c r="T58" t="s">
        <v>25</v>
      </c>
    </row>
    <row r="59" spans="1:20" ht="15">
      <c r="A59" t="s">
        <v>19</v>
      </c>
      <c r="B59" t="s">
        <v>20</v>
      </c>
      <c r="C59" t="str">
        <f t="shared" si="0"/>
        <v>31-Dec-21</v>
      </c>
      <c r="D59" t="s">
        <v>21</v>
      </c>
      <c r="E59" t="s">
        <v>22</v>
      </c>
      <c r="F59" t="str">
        <f>"B1YW5V4"</f>
        <v>B1YW5V4</v>
      </c>
      <c r="G59" t="s">
        <v>84</v>
      </c>
      <c r="I59" t="s">
        <v>42</v>
      </c>
      <c r="J59">
        <v>0.157873033</v>
      </c>
      <c r="K59">
        <v>7100</v>
      </c>
      <c r="L59">
        <v>298463.58</v>
      </c>
      <c r="M59">
        <v>48406.19</v>
      </c>
      <c r="N59">
        <v>20.45</v>
      </c>
      <c r="O59">
        <v>145195</v>
      </c>
      <c r="P59">
        <v>22922.38</v>
      </c>
      <c r="Q59">
        <v>0</v>
      </c>
      <c r="R59">
        <v>0</v>
      </c>
      <c r="S59">
        <v>0.011</v>
      </c>
      <c r="T59" t="s">
        <v>25</v>
      </c>
    </row>
    <row r="60" spans="1:20" ht="15">
      <c r="A60" t="s">
        <v>19</v>
      </c>
      <c r="B60" t="s">
        <v>20</v>
      </c>
      <c r="C60" t="str">
        <f t="shared" si="0"/>
        <v>31-Dec-21</v>
      </c>
      <c r="D60" t="s">
        <v>21</v>
      </c>
      <c r="E60" t="s">
        <v>22</v>
      </c>
      <c r="F60" t="str">
        <f>"B4X4D29"</f>
        <v>B4X4D29</v>
      </c>
      <c r="G60" t="s">
        <v>85</v>
      </c>
      <c r="I60" t="s">
        <v>42</v>
      </c>
      <c r="J60">
        <v>0.157873033</v>
      </c>
      <c r="K60">
        <v>11300</v>
      </c>
      <c r="L60">
        <v>333410.61</v>
      </c>
      <c r="M60">
        <v>89159.72</v>
      </c>
      <c r="N60">
        <v>17.99</v>
      </c>
      <c r="O60">
        <v>203287</v>
      </c>
      <c r="P60">
        <v>32093.54</v>
      </c>
      <c r="Q60">
        <v>0</v>
      </c>
      <c r="R60">
        <v>0</v>
      </c>
      <c r="S60">
        <v>0.016</v>
      </c>
      <c r="T60" t="s">
        <v>25</v>
      </c>
    </row>
    <row r="61" spans="1:20" ht="15">
      <c r="A61" t="s">
        <v>19</v>
      </c>
      <c r="B61" t="s">
        <v>20</v>
      </c>
      <c r="C61" t="str">
        <f t="shared" si="0"/>
        <v>31-Dec-21</v>
      </c>
      <c r="D61" t="s">
        <v>21</v>
      </c>
      <c r="E61" t="s">
        <v>22</v>
      </c>
      <c r="F61" t="str">
        <f>"2645517"</f>
        <v>2645517</v>
      </c>
      <c r="G61" t="s">
        <v>86</v>
      </c>
      <c r="I61" t="s">
        <v>42</v>
      </c>
      <c r="J61">
        <v>0.157873033</v>
      </c>
      <c r="K61">
        <v>36600</v>
      </c>
      <c r="L61">
        <v>502731.91</v>
      </c>
      <c r="M61">
        <v>134306.84</v>
      </c>
      <c r="N61">
        <v>27.26</v>
      </c>
      <c r="O61">
        <v>997716</v>
      </c>
      <c r="P61">
        <v>157512.45</v>
      </c>
      <c r="Q61">
        <v>0</v>
      </c>
      <c r="R61">
        <v>0</v>
      </c>
      <c r="S61">
        <v>0.078</v>
      </c>
      <c r="T61" t="s">
        <v>25</v>
      </c>
    </row>
    <row r="62" spans="1:20" ht="15">
      <c r="A62" t="s">
        <v>19</v>
      </c>
      <c r="B62" t="s">
        <v>20</v>
      </c>
      <c r="C62" t="str">
        <f t="shared" si="0"/>
        <v>31-Dec-21</v>
      </c>
      <c r="D62" t="s">
        <v>21</v>
      </c>
      <c r="E62" t="s">
        <v>22</v>
      </c>
      <c r="F62" t="str">
        <f>"BF4J7N9"</f>
        <v>BF4J7N9</v>
      </c>
      <c r="G62" t="s">
        <v>87</v>
      </c>
      <c r="I62" t="s">
        <v>42</v>
      </c>
      <c r="J62">
        <v>0.157873033</v>
      </c>
      <c r="K62">
        <v>43927</v>
      </c>
      <c r="L62">
        <v>415804.61</v>
      </c>
      <c r="M62">
        <v>77172.02</v>
      </c>
      <c r="N62">
        <v>10.38</v>
      </c>
      <c r="O62">
        <v>455962.26</v>
      </c>
      <c r="P62">
        <v>71984.15</v>
      </c>
      <c r="Q62">
        <v>236.01</v>
      </c>
      <c r="R62">
        <v>37.26</v>
      </c>
      <c r="S62">
        <v>0.036</v>
      </c>
      <c r="T62" t="s">
        <v>25</v>
      </c>
    </row>
    <row r="63" spans="1:20" ht="15">
      <c r="A63" t="s">
        <v>19</v>
      </c>
      <c r="B63" t="s">
        <v>20</v>
      </c>
      <c r="C63" t="str">
        <f t="shared" si="0"/>
        <v>31-Dec-21</v>
      </c>
      <c r="D63" t="s">
        <v>21</v>
      </c>
      <c r="E63" t="s">
        <v>22</v>
      </c>
      <c r="F63" t="str">
        <f>"B2QY968"</f>
        <v>B2QY968</v>
      </c>
      <c r="G63" t="s">
        <v>88</v>
      </c>
      <c r="I63" t="s">
        <v>42</v>
      </c>
      <c r="J63">
        <v>0.157873033</v>
      </c>
      <c r="K63">
        <v>14200</v>
      </c>
      <c r="L63">
        <v>315146.54</v>
      </c>
      <c r="M63">
        <v>88002.15</v>
      </c>
      <c r="N63">
        <v>28.27</v>
      </c>
      <c r="O63">
        <v>401434</v>
      </c>
      <c r="P63">
        <v>63375.6</v>
      </c>
      <c r="Q63">
        <v>22978.81</v>
      </c>
      <c r="R63">
        <v>3627.73</v>
      </c>
      <c r="S63">
        <v>0.033</v>
      </c>
      <c r="T63" t="s">
        <v>25</v>
      </c>
    </row>
    <row r="64" spans="1:20" ht="15">
      <c r="A64" t="s">
        <v>19</v>
      </c>
      <c r="B64" t="s">
        <v>20</v>
      </c>
      <c r="C64" t="str">
        <f t="shared" si="0"/>
        <v>31-Dec-21</v>
      </c>
      <c r="D64" t="s">
        <v>21</v>
      </c>
      <c r="E64" t="s">
        <v>22</v>
      </c>
      <c r="F64" t="str">
        <f>"BYZ6D56"</f>
        <v>BYZ6D56</v>
      </c>
      <c r="G64" t="s">
        <v>89</v>
      </c>
      <c r="I64" t="s">
        <v>42</v>
      </c>
      <c r="J64">
        <v>0.157873033</v>
      </c>
      <c r="K64">
        <v>26833</v>
      </c>
      <c r="L64">
        <v>400834.05</v>
      </c>
      <c r="M64">
        <v>83715.53</v>
      </c>
      <c r="N64">
        <v>4.02</v>
      </c>
      <c r="O64">
        <v>107868.66</v>
      </c>
      <c r="P64">
        <v>17029.55</v>
      </c>
      <c r="Q64">
        <v>0</v>
      </c>
      <c r="R64">
        <v>0</v>
      </c>
      <c r="S64">
        <v>0.008</v>
      </c>
      <c r="T64" t="s">
        <v>25</v>
      </c>
    </row>
    <row r="65" spans="1:20" ht="15">
      <c r="A65" t="s">
        <v>19</v>
      </c>
      <c r="B65" t="s">
        <v>20</v>
      </c>
      <c r="C65" t="str">
        <f t="shared" si="0"/>
        <v>31-Dec-21</v>
      </c>
      <c r="D65" t="s">
        <v>21</v>
      </c>
      <c r="E65" t="s">
        <v>22</v>
      </c>
      <c r="F65" t="str">
        <f>"B03DN17"</f>
        <v>B03DN17</v>
      </c>
      <c r="G65" t="s">
        <v>90</v>
      </c>
      <c r="I65" t="s">
        <v>42</v>
      </c>
      <c r="J65">
        <v>0.157873033</v>
      </c>
      <c r="K65">
        <v>10500</v>
      </c>
      <c r="L65">
        <v>22079.06</v>
      </c>
      <c r="M65">
        <v>4129.6</v>
      </c>
      <c r="N65">
        <v>19.09</v>
      </c>
      <c r="O65">
        <v>200445</v>
      </c>
      <c r="P65">
        <v>31644.86</v>
      </c>
      <c r="Q65">
        <v>2963.12</v>
      </c>
      <c r="R65">
        <v>467.8</v>
      </c>
      <c r="S65">
        <v>0.016</v>
      </c>
      <c r="T65" t="s">
        <v>25</v>
      </c>
    </row>
    <row r="66" spans="1:20" ht="15">
      <c r="A66" t="s">
        <v>19</v>
      </c>
      <c r="B66" t="s">
        <v>20</v>
      </c>
      <c r="C66" t="str">
        <f aca="true" t="shared" si="1" ref="C66:C129">"31-Dec-21"</f>
        <v>31-Dec-21</v>
      </c>
      <c r="D66" t="s">
        <v>21</v>
      </c>
      <c r="E66" t="s">
        <v>22</v>
      </c>
      <c r="F66" t="str">
        <f>"B037HR3"</f>
        <v>B037HR3</v>
      </c>
      <c r="G66" t="s">
        <v>91</v>
      </c>
      <c r="I66" t="s">
        <v>42</v>
      </c>
      <c r="J66">
        <v>0.157873033</v>
      </c>
      <c r="K66">
        <v>154323</v>
      </c>
      <c r="L66">
        <v>355611.86</v>
      </c>
      <c r="M66">
        <v>87766.43</v>
      </c>
      <c r="N66">
        <v>20.95</v>
      </c>
      <c r="O66">
        <v>3233066.85</v>
      </c>
      <c r="P66">
        <v>510414.07</v>
      </c>
      <c r="Q66">
        <v>45798.79</v>
      </c>
      <c r="R66">
        <v>7230.39</v>
      </c>
      <c r="S66">
        <v>0.257</v>
      </c>
      <c r="T66" t="s">
        <v>25</v>
      </c>
    </row>
    <row r="67" spans="1:20" ht="15">
      <c r="A67" t="s">
        <v>19</v>
      </c>
      <c r="B67" t="s">
        <v>20</v>
      </c>
      <c r="C67" t="str">
        <f t="shared" si="1"/>
        <v>31-Dec-21</v>
      </c>
      <c r="D67" t="s">
        <v>21</v>
      </c>
      <c r="E67" t="s">
        <v>22</v>
      </c>
      <c r="F67" t="str">
        <f>"2458771"</f>
        <v>2458771</v>
      </c>
      <c r="G67" t="s">
        <v>92</v>
      </c>
      <c r="I67" t="s">
        <v>42</v>
      </c>
      <c r="J67">
        <v>0.157873033</v>
      </c>
      <c r="K67">
        <v>160840</v>
      </c>
      <c r="L67">
        <v>1385220.11</v>
      </c>
      <c r="M67">
        <v>336110.01</v>
      </c>
      <c r="N67">
        <v>8.93</v>
      </c>
      <c r="O67">
        <v>1436301.2</v>
      </c>
      <c r="P67">
        <v>226753.23</v>
      </c>
      <c r="Q67">
        <v>30908.7</v>
      </c>
      <c r="R67">
        <v>4879.66</v>
      </c>
      <c r="S67">
        <v>0.115</v>
      </c>
      <c r="T67" t="s">
        <v>25</v>
      </c>
    </row>
    <row r="68" spans="1:20" ht="15">
      <c r="A68" t="s">
        <v>19</v>
      </c>
      <c r="B68" t="s">
        <v>20</v>
      </c>
      <c r="C68" t="str">
        <f t="shared" si="1"/>
        <v>31-Dec-21</v>
      </c>
      <c r="D68" t="s">
        <v>21</v>
      </c>
      <c r="E68" t="s">
        <v>22</v>
      </c>
      <c r="F68" t="str">
        <f>"B1V74X7"</f>
        <v>B1V74X7</v>
      </c>
      <c r="G68" t="s">
        <v>93</v>
      </c>
      <c r="I68" t="s">
        <v>42</v>
      </c>
      <c r="J68">
        <v>0.157873033</v>
      </c>
      <c r="K68">
        <v>31600</v>
      </c>
      <c r="L68">
        <v>413334.58</v>
      </c>
      <c r="M68">
        <v>104735.46</v>
      </c>
      <c r="N68">
        <v>37.95</v>
      </c>
      <c r="O68">
        <v>1199220</v>
      </c>
      <c r="P68">
        <v>189324.5</v>
      </c>
      <c r="Q68">
        <v>0</v>
      </c>
      <c r="R68">
        <v>0</v>
      </c>
      <c r="S68">
        <v>0.094</v>
      </c>
      <c r="T68" t="s">
        <v>25</v>
      </c>
    </row>
    <row r="69" spans="1:20" ht="15">
      <c r="A69" t="s">
        <v>19</v>
      </c>
      <c r="B69" t="s">
        <v>20</v>
      </c>
      <c r="C69" t="str">
        <f t="shared" si="1"/>
        <v>31-Dec-21</v>
      </c>
      <c r="D69" t="s">
        <v>21</v>
      </c>
      <c r="E69" t="s">
        <v>22</v>
      </c>
      <c r="F69" t="str">
        <f>"BJ0K6Z9"</f>
        <v>BJ0K6Z9</v>
      </c>
      <c r="G69" t="s">
        <v>94</v>
      </c>
      <c r="I69" t="s">
        <v>42</v>
      </c>
      <c r="J69">
        <v>0.157873033</v>
      </c>
      <c r="K69">
        <v>24044</v>
      </c>
      <c r="L69">
        <v>452166.52</v>
      </c>
      <c r="M69">
        <v>102517</v>
      </c>
      <c r="N69">
        <v>25.66</v>
      </c>
      <c r="O69">
        <v>616969.04</v>
      </c>
      <c r="P69">
        <v>97402.77</v>
      </c>
      <c r="Q69">
        <v>0</v>
      </c>
      <c r="R69">
        <v>0</v>
      </c>
      <c r="S69">
        <v>0.048</v>
      </c>
      <c r="T69" t="s">
        <v>25</v>
      </c>
    </row>
    <row r="70" spans="1:20" ht="15">
      <c r="A70" t="s">
        <v>19</v>
      </c>
      <c r="B70" t="s">
        <v>20</v>
      </c>
      <c r="C70" t="str">
        <f t="shared" si="1"/>
        <v>31-Dec-21</v>
      </c>
      <c r="D70" t="s">
        <v>21</v>
      </c>
      <c r="E70" t="s">
        <v>22</v>
      </c>
      <c r="F70" t="str">
        <f>"B08K3S0"</f>
        <v>B08K3S0</v>
      </c>
      <c r="G70" t="s">
        <v>95</v>
      </c>
      <c r="I70" t="s">
        <v>42</v>
      </c>
      <c r="J70">
        <v>0.157873033</v>
      </c>
      <c r="K70">
        <v>20570</v>
      </c>
      <c r="L70">
        <v>338529.52</v>
      </c>
      <c r="M70">
        <v>85014.34</v>
      </c>
      <c r="N70">
        <v>53</v>
      </c>
      <c r="O70">
        <v>1090210</v>
      </c>
      <c r="P70">
        <v>172114.76</v>
      </c>
      <c r="Q70">
        <v>2656.89</v>
      </c>
      <c r="R70">
        <v>419.45</v>
      </c>
      <c r="S70">
        <v>0.086</v>
      </c>
      <c r="T70" t="s">
        <v>25</v>
      </c>
    </row>
    <row r="71" spans="1:20" ht="15">
      <c r="A71" t="s">
        <v>19</v>
      </c>
      <c r="B71" t="s">
        <v>20</v>
      </c>
      <c r="C71" t="str">
        <f t="shared" si="1"/>
        <v>31-Dec-21</v>
      </c>
      <c r="D71" t="s">
        <v>21</v>
      </c>
      <c r="E71" t="s">
        <v>22</v>
      </c>
      <c r="F71" t="str">
        <f>"BL3W4C9"</f>
        <v>BL3W4C9</v>
      </c>
      <c r="G71" t="s">
        <v>96</v>
      </c>
      <c r="I71" t="s">
        <v>42</v>
      </c>
      <c r="J71">
        <v>0.157873033</v>
      </c>
      <c r="K71">
        <v>12000</v>
      </c>
      <c r="L71">
        <v>290272.03</v>
      </c>
      <c r="M71">
        <v>44530.59</v>
      </c>
      <c r="N71">
        <v>13.16</v>
      </c>
      <c r="O71">
        <v>157920</v>
      </c>
      <c r="P71">
        <v>24931.31</v>
      </c>
      <c r="Q71">
        <v>0</v>
      </c>
      <c r="R71">
        <v>0</v>
      </c>
      <c r="S71">
        <v>0.012</v>
      </c>
      <c r="T71" t="s">
        <v>25</v>
      </c>
    </row>
    <row r="72" spans="1:20" ht="15">
      <c r="A72" t="s">
        <v>19</v>
      </c>
      <c r="B72" t="s">
        <v>20</v>
      </c>
      <c r="C72" t="str">
        <f t="shared" si="1"/>
        <v>31-Dec-21</v>
      </c>
      <c r="D72" t="s">
        <v>21</v>
      </c>
      <c r="E72" t="s">
        <v>22</v>
      </c>
      <c r="F72" t="str">
        <f>"2523367"</f>
        <v>2523367</v>
      </c>
      <c r="G72" t="s">
        <v>97</v>
      </c>
      <c r="I72" t="s">
        <v>42</v>
      </c>
      <c r="J72">
        <v>0.157873033</v>
      </c>
      <c r="K72">
        <v>14172</v>
      </c>
      <c r="L72">
        <v>104957.24</v>
      </c>
      <c r="M72">
        <v>21916.41</v>
      </c>
      <c r="N72">
        <v>5.91</v>
      </c>
      <c r="O72">
        <v>83756.52</v>
      </c>
      <c r="P72">
        <v>13222.9</v>
      </c>
      <c r="Q72">
        <v>0</v>
      </c>
      <c r="R72">
        <v>0</v>
      </c>
      <c r="S72">
        <v>0.007</v>
      </c>
      <c r="T72" t="s">
        <v>25</v>
      </c>
    </row>
    <row r="73" spans="1:20" ht="15">
      <c r="A73" t="s">
        <v>19</v>
      </c>
      <c r="B73" t="s">
        <v>20</v>
      </c>
      <c r="C73" t="str">
        <f t="shared" si="1"/>
        <v>31-Dec-21</v>
      </c>
      <c r="D73" t="s">
        <v>21</v>
      </c>
      <c r="E73" t="s">
        <v>22</v>
      </c>
      <c r="F73" t="str">
        <f>"2516710"</f>
        <v>2516710</v>
      </c>
      <c r="G73" t="s">
        <v>98</v>
      </c>
      <c r="I73" t="s">
        <v>42</v>
      </c>
      <c r="J73">
        <v>0.157873033</v>
      </c>
      <c r="K73">
        <v>40062</v>
      </c>
      <c r="L73">
        <v>257826.39</v>
      </c>
      <c r="M73">
        <v>65104.39</v>
      </c>
      <c r="N73">
        <v>5.89</v>
      </c>
      <c r="O73">
        <v>235965.18</v>
      </c>
      <c r="P73">
        <v>37252.54</v>
      </c>
      <c r="Q73">
        <v>0</v>
      </c>
      <c r="R73">
        <v>0</v>
      </c>
      <c r="S73">
        <v>0.018</v>
      </c>
      <c r="T73" t="s">
        <v>25</v>
      </c>
    </row>
    <row r="74" spans="1:20" ht="15">
      <c r="A74" t="s">
        <v>19</v>
      </c>
      <c r="B74" t="s">
        <v>20</v>
      </c>
      <c r="C74" t="str">
        <f t="shared" si="1"/>
        <v>31-Dec-21</v>
      </c>
      <c r="D74" t="s">
        <v>21</v>
      </c>
      <c r="E74" t="s">
        <v>22</v>
      </c>
      <c r="F74" t="str">
        <f>"B0CGYD6"</f>
        <v>B0CGYD6</v>
      </c>
      <c r="G74" t="s">
        <v>99</v>
      </c>
      <c r="I74" t="s">
        <v>42</v>
      </c>
      <c r="J74">
        <v>0.157873033</v>
      </c>
      <c r="K74">
        <v>31847</v>
      </c>
      <c r="L74">
        <v>602637.26</v>
      </c>
      <c r="M74">
        <v>154215.86</v>
      </c>
      <c r="N74">
        <v>24.44</v>
      </c>
      <c r="O74">
        <v>778340.68</v>
      </c>
      <c r="P74">
        <v>122879</v>
      </c>
      <c r="Q74">
        <v>16195.06</v>
      </c>
      <c r="R74">
        <v>2556.77</v>
      </c>
      <c r="S74">
        <v>0.062</v>
      </c>
      <c r="T74" t="s">
        <v>25</v>
      </c>
    </row>
    <row r="75" spans="1:20" ht="15">
      <c r="A75" t="s">
        <v>19</v>
      </c>
      <c r="B75" t="s">
        <v>20</v>
      </c>
      <c r="C75" t="str">
        <f t="shared" si="1"/>
        <v>31-Dec-21</v>
      </c>
      <c r="D75" t="s">
        <v>21</v>
      </c>
      <c r="E75" t="s">
        <v>22</v>
      </c>
      <c r="F75" t="str">
        <f>"B1FRH89"</f>
        <v>B1FRH89</v>
      </c>
      <c r="G75" t="s">
        <v>100</v>
      </c>
      <c r="I75" t="s">
        <v>42</v>
      </c>
      <c r="J75">
        <v>0.157873033</v>
      </c>
      <c r="K75">
        <v>5100</v>
      </c>
      <c r="L75">
        <v>156980.01</v>
      </c>
      <c r="M75">
        <v>43578.8</v>
      </c>
      <c r="N75">
        <v>25.49</v>
      </c>
      <c r="O75">
        <v>129999</v>
      </c>
      <c r="P75">
        <v>20523.34</v>
      </c>
      <c r="Q75">
        <v>0</v>
      </c>
      <c r="R75">
        <v>0</v>
      </c>
      <c r="S75">
        <v>0.01</v>
      </c>
      <c r="T75" t="s">
        <v>25</v>
      </c>
    </row>
    <row r="76" spans="1:20" ht="15">
      <c r="A76" t="s">
        <v>19</v>
      </c>
      <c r="B76" t="s">
        <v>20</v>
      </c>
      <c r="C76" t="str">
        <f t="shared" si="1"/>
        <v>31-Dec-21</v>
      </c>
      <c r="D76" t="s">
        <v>21</v>
      </c>
      <c r="E76" t="s">
        <v>22</v>
      </c>
      <c r="F76" t="str">
        <f>"B4975P9"</f>
        <v>B4975P9</v>
      </c>
      <c r="G76" t="s">
        <v>101</v>
      </c>
      <c r="I76" t="s">
        <v>42</v>
      </c>
      <c r="J76">
        <v>0.157873033</v>
      </c>
      <c r="K76">
        <v>101500</v>
      </c>
      <c r="L76">
        <v>834232.5</v>
      </c>
      <c r="M76">
        <v>155314.84</v>
      </c>
      <c r="N76">
        <v>7.22</v>
      </c>
      <c r="O76">
        <v>732830</v>
      </c>
      <c r="P76">
        <v>115694.1</v>
      </c>
      <c r="Q76">
        <v>2203.28</v>
      </c>
      <c r="R76">
        <v>347.84</v>
      </c>
      <c r="S76">
        <v>0.058</v>
      </c>
      <c r="T76" t="s">
        <v>25</v>
      </c>
    </row>
    <row r="77" spans="1:20" ht="15">
      <c r="A77" t="s">
        <v>19</v>
      </c>
      <c r="B77" t="s">
        <v>20</v>
      </c>
      <c r="C77" t="str">
        <f t="shared" si="1"/>
        <v>31-Dec-21</v>
      </c>
      <c r="D77" t="s">
        <v>21</v>
      </c>
      <c r="E77" t="s">
        <v>22</v>
      </c>
      <c r="F77" t="str">
        <f>"B1YWHR4"</f>
        <v>B1YWHR4</v>
      </c>
      <c r="G77" t="s">
        <v>102</v>
      </c>
      <c r="I77" t="s">
        <v>42</v>
      </c>
      <c r="J77">
        <v>0.157873033</v>
      </c>
      <c r="K77">
        <v>11900</v>
      </c>
      <c r="L77">
        <v>190075.94</v>
      </c>
      <c r="M77">
        <v>29159.52</v>
      </c>
      <c r="N77">
        <v>22.07</v>
      </c>
      <c r="O77">
        <v>262633</v>
      </c>
      <c r="P77">
        <v>41462.67</v>
      </c>
      <c r="Q77">
        <v>0</v>
      </c>
      <c r="R77">
        <v>0</v>
      </c>
      <c r="S77">
        <v>0.021</v>
      </c>
      <c r="T77" t="s">
        <v>25</v>
      </c>
    </row>
    <row r="78" spans="1:20" ht="15">
      <c r="A78" t="s">
        <v>19</v>
      </c>
      <c r="B78" t="s">
        <v>20</v>
      </c>
      <c r="C78" t="str">
        <f t="shared" si="1"/>
        <v>31-Dec-21</v>
      </c>
      <c r="D78" t="s">
        <v>21</v>
      </c>
      <c r="E78" t="s">
        <v>22</v>
      </c>
      <c r="F78" t="str">
        <f>"2648862"</f>
        <v>2648862</v>
      </c>
      <c r="G78" t="s">
        <v>103</v>
      </c>
      <c r="I78" t="s">
        <v>42</v>
      </c>
      <c r="J78">
        <v>0.157873033</v>
      </c>
      <c r="K78">
        <v>22400</v>
      </c>
      <c r="L78">
        <v>285155.94</v>
      </c>
      <c r="M78">
        <v>43745.73</v>
      </c>
      <c r="N78">
        <v>11.38</v>
      </c>
      <c r="O78">
        <v>254912</v>
      </c>
      <c r="P78">
        <v>40243.73</v>
      </c>
      <c r="Q78">
        <v>0</v>
      </c>
      <c r="R78">
        <v>0</v>
      </c>
      <c r="S78">
        <v>0.02</v>
      </c>
      <c r="T78" t="s">
        <v>25</v>
      </c>
    </row>
    <row r="79" spans="1:20" ht="15">
      <c r="A79" t="s">
        <v>19</v>
      </c>
      <c r="B79" t="s">
        <v>20</v>
      </c>
      <c r="C79" t="str">
        <f t="shared" si="1"/>
        <v>31-Dec-21</v>
      </c>
      <c r="D79" t="s">
        <v>21</v>
      </c>
      <c r="E79" t="s">
        <v>22</v>
      </c>
      <c r="F79" t="str">
        <f>"B23DZG0"</f>
        <v>B23DZG0</v>
      </c>
      <c r="G79" t="s">
        <v>104</v>
      </c>
      <c r="I79" t="s">
        <v>42</v>
      </c>
      <c r="J79">
        <v>0.157873033</v>
      </c>
      <c r="K79">
        <v>12557</v>
      </c>
      <c r="L79">
        <v>220004.58</v>
      </c>
      <c r="M79">
        <v>60053.02</v>
      </c>
      <c r="N79">
        <v>18.72</v>
      </c>
      <c r="O79">
        <v>235067.04</v>
      </c>
      <c r="P79">
        <v>37110.75</v>
      </c>
      <c r="Q79">
        <v>6264.69</v>
      </c>
      <c r="R79">
        <v>989.03</v>
      </c>
      <c r="S79">
        <v>0.019</v>
      </c>
      <c r="T79" t="s">
        <v>25</v>
      </c>
    </row>
    <row r="80" spans="1:20" ht="15">
      <c r="A80" t="s">
        <v>19</v>
      </c>
      <c r="B80" t="s">
        <v>20</v>
      </c>
      <c r="C80" t="str">
        <f t="shared" si="1"/>
        <v>31-Dec-21</v>
      </c>
      <c r="D80" t="s">
        <v>21</v>
      </c>
      <c r="E80" t="s">
        <v>22</v>
      </c>
      <c r="F80" t="str">
        <f>"BJRFY31"</f>
        <v>BJRFY31</v>
      </c>
      <c r="G80" t="s">
        <v>105</v>
      </c>
      <c r="I80" t="s">
        <v>42</v>
      </c>
      <c r="J80">
        <v>0.157873033</v>
      </c>
      <c r="K80">
        <v>32535</v>
      </c>
      <c r="L80">
        <v>1086060.88</v>
      </c>
      <c r="M80">
        <v>232964.58</v>
      </c>
      <c r="N80">
        <v>25.43</v>
      </c>
      <c r="O80">
        <v>827365.05</v>
      </c>
      <c r="P80">
        <v>130618.63</v>
      </c>
      <c r="Q80">
        <v>0</v>
      </c>
      <c r="R80">
        <v>0</v>
      </c>
      <c r="S80">
        <v>0.065</v>
      </c>
      <c r="T80" t="s">
        <v>25</v>
      </c>
    </row>
    <row r="81" spans="1:20" ht="15">
      <c r="A81" t="s">
        <v>19</v>
      </c>
      <c r="B81" t="s">
        <v>20</v>
      </c>
      <c r="C81" t="str">
        <f t="shared" si="1"/>
        <v>31-Dec-21</v>
      </c>
      <c r="D81" t="s">
        <v>21</v>
      </c>
      <c r="E81" t="s">
        <v>22</v>
      </c>
      <c r="F81" t="str">
        <f>"BF8GMG4"</f>
        <v>BF8GMG4</v>
      </c>
      <c r="G81" t="s">
        <v>106</v>
      </c>
      <c r="I81" t="s">
        <v>42</v>
      </c>
      <c r="J81">
        <v>0.157873033</v>
      </c>
      <c r="K81">
        <v>7700</v>
      </c>
      <c r="L81">
        <v>142945.8</v>
      </c>
      <c r="M81">
        <v>25022.92</v>
      </c>
      <c r="N81">
        <v>16.2</v>
      </c>
      <c r="O81">
        <v>124740</v>
      </c>
      <c r="P81">
        <v>19693.08</v>
      </c>
      <c r="Q81">
        <v>0</v>
      </c>
      <c r="R81">
        <v>0</v>
      </c>
      <c r="S81">
        <v>0.01</v>
      </c>
      <c r="T81" t="s">
        <v>25</v>
      </c>
    </row>
    <row r="82" spans="1:20" ht="15">
      <c r="A82" t="s">
        <v>19</v>
      </c>
      <c r="B82" t="s">
        <v>20</v>
      </c>
      <c r="C82" t="str">
        <f t="shared" si="1"/>
        <v>31-Dec-21</v>
      </c>
      <c r="D82" t="s">
        <v>21</v>
      </c>
      <c r="E82" t="s">
        <v>22</v>
      </c>
      <c r="F82" t="str">
        <f>"BF4J7K6"</f>
        <v>BF4J7K6</v>
      </c>
      <c r="G82" t="s">
        <v>107</v>
      </c>
      <c r="I82" t="s">
        <v>42</v>
      </c>
      <c r="J82">
        <v>0.157873033</v>
      </c>
      <c r="K82">
        <v>17578</v>
      </c>
      <c r="L82">
        <v>874413</v>
      </c>
      <c r="M82">
        <v>177663.19</v>
      </c>
      <c r="N82">
        <v>60.35</v>
      </c>
      <c r="O82">
        <v>1060832.3</v>
      </c>
      <c r="P82">
        <v>167476.81</v>
      </c>
      <c r="Q82">
        <v>0</v>
      </c>
      <c r="R82">
        <v>0</v>
      </c>
      <c r="S82">
        <v>0.083</v>
      </c>
      <c r="T82" t="s">
        <v>25</v>
      </c>
    </row>
    <row r="83" spans="1:20" ht="15">
      <c r="A83" t="s">
        <v>19</v>
      </c>
      <c r="B83" t="s">
        <v>20</v>
      </c>
      <c r="C83" t="str">
        <f t="shared" si="1"/>
        <v>31-Dec-21</v>
      </c>
      <c r="D83" t="s">
        <v>21</v>
      </c>
      <c r="E83" t="s">
        <v>22</v>
      </c>
      <c r="F83" t="str">
        <f>"B1H6R62"</f>
        <v>B1H6R62</v>
      </c>
      <c r="G83" t="s">
        <v>108</v>
      </c>
      <c r="I83" t="s">
        <v>42</v>
      </c>
      <c r="J83">
        <v>0.157873033</v>
      </c>
      <c r="K83">
        <v>11800</v>
      </c>
      <c r="L83">
        <v>175085.85</v>
      </c>
      <c r="M83">
        <v>46804.21</v>
      </c>
      <c r="N83">
        <v>12.6</v>
      </c>
      <c r="O83">
        <v>148680</v>
      </c>
      <c r="P83">
        <v>23472.56</v>
      </c>
      <c r="Q83">
        <v>0</v>
      </c>
      <c r="R83">
        <v>0</v>
      </c>
      <c r="S83">
        <v>0.012</v>
      </c>
      <c r="T83" t="s">
        <v>25</v>
      </c>
    </row>
    <row r="84" spans="1:20" ht="15">
      <c r="A84" t="s">
        <v>19</v>
      </c>
      <c r="B84" t="s">
        <v>20</v>
      </c>
      <c r="C84" t="str">
        <f t="shared" si="1"/>
        <v>31-Dec-21</v>
      </c>
      <c r="D84" t="s">
        <v>21</v>
      </c>
      <c r="E84" t="s">
        <v>22</v>
      </c>
      <c r="F84" t="str">
        <f>"BYY0144"</f>
        <v>BYY0144</v>
      </c>
      <c r="G84" t="s">
        <v>109</v>
      </c>
      <c r="I84" t="s">
        <v>42</v>
      </c>
      <c r="J84">
        <v>0.157873033</v>
      </c>
      <c r="K84">
        <v>12400</v>
      </c>
      <c r="L84">
        <v>249067.09</v>
      </c>
      <c r="M84">
        <v>39914</v>
      </c>
      <c r="N84">
        <v>20.67</v>
      </c>
      <c r="O84">
        <v>256308</v>
      </c>
      <c r="P84">
        <v>40464.12</v>
      </c>
      <c r="Q84">
        <v>0</v>
      </c>
      <c r="R84">
        <v>0</v>
      </c>
      <c r="S84">
        <v>0.02</v>
      </c>
      <c r="T84" t="s">
        <v>25</v>
      </c>
    </row>
    <row r="85" spans="1:20" ht="15">
      <c r="A85" t="s">
        <v>19</v>
      </c>
      <c r="B85" t="s">
        <v>20</v>
      </c>
      <c r="C85" t="str">
        <f t="shared" si="1"/>
        <v>31-Dec-21</v>
      </c>
      <c r="D85" t="s">
        <v>21</v>
      </c>
      <c r="E85" t="s">
        <v>22</v>
      </c>
      <c r="F85" t="str">
        <f>"2682365"</f>
        <v>2682365</v>
      </c>
      <c r="G85" t="s">
        <v>110</v>
      </c>
      <c r="I85" t="s">
        <v>42</v>
      </c>
      <c r="J85">
        <v>0.157873033</v>
      </c>
      <c r="K85">
        <v>123850</v>
      </c>
      <c r="L85">
        <v>2716006.13</v>
      </c>
      <c r="M85">
        <v>663857.22</v>
      </c>
      <c r="N85">
        <v>30.7</v>
      </c>
      <c r="O85">
        <v>3802195</v>
      </c>
      <c r="P85">
        <v>600264.06</v>
      </c>
      <c r="Q85">
        <v>0</v>
      </c>
      <c r="R85">
        <v>0</v>
      </c>
      <c r="S85">
        <v>0.298</v>
      </c>
      <c r="T85" t="s">
        <v>25</v>
      </c>
    </row>
    <row r="86" spans="1:20" ht="15">
      <c r="A86" t="s">
        <v>19</v>
      </c>
      <c r="B86" t="s">
        <v>20</v>
      </c>
      <c r="C86" t="str">
        <f t="shared" si="1"/>
        <v>31-Dec-21</v>
      </c>
      <c r="D86" t="s">
        <v>21</v>
      </c>
      <c r="E86" t="s">
        <v>22</v>
      </c>
      <c r="F86" t="str">
        <f>"2684532"</f>
        <v>2684532</v>
      </c>
      <c r="G86" t="s">
        <v>111</v>
      </c>
      <c r="I86" t="s">
        <v>42</v>
      </c>
      <c r="J86">
        <v>0.157873033</v>
      </c>
      <c r="K86">
        <v>176000</v>
      </c>
      <c r="L86">
        <v>3750842.84</v>
      </c>
      <c r="M86">
        <v>849533.74</v>
      </c>
      <c r="N86">
        <v>28.45</v>
      </c>
      <c r="O86">
        <v>5007200</v>
      </c>
      <c r="P86">
        <v>790501.85</v>
      </c>
      <c r="Q86">
        <v>0</v>
      </c>
      <c r="R86">
        <v>0</v>
      </c>
      <c r="S86">
        <v>0.392</v>
      </c>
      <c r="T86" t="s">
        <v>25</v>
      </c>
    </row>
    <row r="87" spans="1:20" ht="15">
      <c r="A87" t="s">
        <v>19</v>
      </c>
      <c r="B87" t="s">
        <v>20</v>
      </c>
      <c r="C87" t="str">
        <f t="shared" si="1"/>
        <v>31-Dec-21</v>
      </c>
      <c r="D87" t="s">
        <v>21</v>
      </c>
      <c r="E87" t="s">
        <v>22</v>
      </c>
      <c r="F87" t="str">
        <f>"B0498T7"</f>
        <v>B0498T7</v>
      </c>
      <c r="G87" t="s">
        <v>112</v>
      </c>
      <c r="I87" t="s">
        <v>42</v>
      </c>
      <c r="J87">
        <v>0.157873033</v>
      </c>
      <c r="K87">
        <v>2000</v>
      </c>
      <c r="L87">
        <v>27769.33</v>
      </c>
      <c r="M87">
        <v>7575.87</v>
      </c>
      <c r="N87">
        <v>20.92</v>
      </c>
      <c r="O87">
        <v>41840</v>
      </c>
      <c r="P87">
        <v>6605.41</v>
      </c>
      <c r="Q87">
        <v>6355.19</v>
      </c>
      <c r="R87">
        <v>1003.31</v>
      </c>
      <c r="S87">
        <v>0.004</v>
      </c>
      <c r="T87" t="s">
        <v>25</v>
      </c>
    </row>
    <row r="88" spans="1:20" ht="15">
      <c r="A88" t="s">
        <v>19</v>
      </c>
      <c r="B88" t="s">
        <v>20</v>
      </c>
      <c r="C88" t="str">
        <f t="shared" si="1"/>
        <v>31-Dec-21</v>
      </c>
      <c r="D88" t="s">
        <v>21</v>
      </c>
      <c r="E88" t="s">
        <v>22</v>
      </c>
      <c r="F88" t="str">
        <f>"B4LHBQ0"</f>
        <v>B4LHBQ0</v>
      </c>
      <c r="G88" t="s">
        <v>113</v>
      </c>
      <c r="I88" t="s">
        <v>42</v>
      </c>
      <c r="J88">
        <v>0.157873033</v>
      </c>
      <c r="K88">
        <v>4100</v>
      </c>
      <c r="L88">
        <v>88179.49</v>
      </c>
      <c r="M88">
        <v>16492.84</v>
      </c>
      <c r="N88">
        <v>16.9</v>
      </c>
      <c r="O88">
        <v>69290</v>
      </c>
      <c r="P88">
        <v>10939.02</v>
      </c>
      <c r="Q88">
        <v>0</v>
      </c>
      <c r="R88">
        <v>0</v>
      </c>
      <c r="S88">
        <v>0.005</v>
      </c>
      <c r="T88" t="s">
        <v>25</v>
      </c>
    </row>
    <row r="89" spans="1:20" ht="15">
      <c r="A89" t="s">
        <v>19</v>
      </c>
      <c r="B89" t="s">
        <v>20</v>
      </c>
      <c r="C89" t="str">
        <f t="shared" si="1"/>
        <v>31-Dec-21</v>
      </c>
      <c r="D89" t="s">
        <v>21</v>
      </c>
      <c r="E89" t="s">
        <v>22</v>
      </c>
      <c r="F89" t="str">
        <f>"B7FQV64"</f>
        <v>B7FQV64</v>
      </c>
      <c r="G89" t="s">
        <v>114</v>
      </c>
      <c r="I89" t="s">
        <v>42</v>
      </c>
      <c r="J89">
        <v>0.157873033</v>
      </c>
      <c r="K89">
        <v>38100</v>
      </c>
      <c r="L89">
        <v>767215.09</v>
      </c>
      <c r="M89">
        <v>126945.21</v>
      </c>
      <c r="N89">
        <v>24.3</v>
      </c>
      <c r="O89">
        <v>925830</v>
      </c>
      <c r="P89">
        <v>146163.59</v>
      </c>
      <c r="Q89">
        <v>2567.51</v>
      </c>
      <c r="R89">
        <v>405.34</v>
      </c>
      <c r="S89">
        <v>0.073</v>
      </c>
      <c r="T89" t="s">
        <v>25</v>
      </c>
    </row>
    <row r="90" spans="1:20" ht="15">
      <c r="A90" t="s">
        <v>19</v>
      </c>
      <c r="B90" t="s">
        <v>20</v>
      </c>
      <c r="C90" t="str">
        <f t="shared" si="1"/>
        <v>31-Dec-21</v>
      </c>
      <c r="D90" t="s">
        <v>21</v>
      </c>
      <c r="E90" t="s">
        <v>22</v>
      </c>
      <c r="F90" t="str">
        <f>"BNDQ8P6"</f>
        <v>BNDQ8P6</v>
      </c>
      <c r="G90" t="s">
        <v>115</v>
      </c>
      <c r="I90" t="s">
        <v>42</v>
      </c>
      <c r="J90">
        <v>0.157873033</v>
      </c>
      <c r="K90">
        <v>15100</v>
      </c>
      <c r="L90">
        <v>1041690.52</v>
      </c>
      <c r="M90">
        <v>167057.09</v>
      </c>
      <c r="N90">
        <v>44.83</v>
      </c>
      <c r="O90">
        <v>676933</v>
      </c>
      <c r="P90">
        <v>106869.47</v>
      </c>
      <c r="Q90">
        <v>0</v>
      </c>
      <c r="R90">
        <v>0</v>
      </c>
      <c r="S90">
        <v>0.053</v>
      </c>
      <c r="T90" t="s">
        <v>25</v>
      </c>
    </row>
    <row r="91" spans="1:20" ht="15">
      <c r="A91" t="s">
        <v>19</v>
      </c>
      <c r="B91" t="s">
        <v>20</v>
      </c>
      <c r="C91" t="str">
        <f t="shared" si="1"/>
        <v>31-Dec-21</v>
      </c>
      <c r="D91" t="s">
        <v>21</v>
      </c>
      <c r="E91" t="s">
        <v>22</v>
      </c>
      <c r="F91" t="str">
        <f>"BYXZ2W5"</f>
        <v>BYXZ2W5</v>
      </c>
      <c r="G91" t="s">
        <v>116</v>
      </c>
      <c r="I91" t="s">
        <v>42</v>
      </c>
      <c r="J91">
        <v>0.157873033</v>
      </c>
      <c r="K91">
        <v>45424</v>
      </c>
      <c r="L91">
        <v>652078.53</v>
      </c>
      <c r="M91">
        <v>135616.94</v>
      </c>
      <c r="N91">
        <v>17.76</v>
      </c>
      <c r="O91">
        <v>806730.24</v>
      </c>
      <c r="P91">
        <v>127360.95</v>
      </c>
      <c r="Q91">
        <v>0</v>
      </c>
      <c r="R91">
        <v>0</v>
      </c>
      <c r="S91">
        <v>0.063</v>
      </c>
      <c r="T91" t="s">
        <v>25</v>
      </c>
    </row>
    <row r="92" spans="1:20" ht="15">
      <c r="A92" t="s">
        <v>19</v>
      </c>
      <c r="B92" t="s">
        <v>20</v>
      </c>
      <c r="C92" t="str">
        <f t="shared" si="1"/>
        <v>31-Dec-21</v>
      </c>
      <c r="D92" t="s">
        <v>21</v>
      </c>
      <c r="E92" t="s">
        <v>22</v>
      </c>
      <c r="F92" t="str">
        <f>"B1P3R43"</f>
        <v>B1P3R43</v>
      </c>
      <c r="G92" t="s">
        <v>117</v>
      </c>
      <c r="I92" t="s">
        <v>42</v>
      </c>
      <c r="J92">
        <v>0.157873033</v>
      </c>
      <c r="K92">
        <v>6800</v>
      </c>
      <c r="L92">
        <v>118802.39</v>
      </c>
      <c r="M92">
        <v>31758.43</v>
      </c>
      <c r="N92">
        <v>34.44</v>
      </c>
      <c r="O92">
        <v>234192</v>
      </c>
      <c r="P92">
        <v>36972.6</v>
      </c>
      <c r="Q92">
        <v>0</v>
      </c>
      <c r="R92">
        <v>0</v>
      </c>
      <c r="S92">
        <v>0.018</v>
      </c>
      <c r="T92" t="s">
        <v>25</v>
      </c>
    </row>
    <row r="93" spans="1:20" ht="15">
      <c r="A93" t="s">
        <v>19</v>
      </c>
      <c r="B93" t="s">
        <v>20</v>
      </c>
      <c r="C93" t="str">
        <f t="shared" si="1"/>
        <v>31-Dec-21</v>
      </c>
      <c r="D93" t="s">
        <v>21</v>
      </c>
      <c r="E93" t="s">
        <v>22</v>
      </c>
      <c r="F93" t="str">
        <f>"BMZ9R04"</f>
        <v>BMZ9R04</v>
      </c>
      <c r="G93" t="s">
        <v>118</v>
      </c>
      <c r="I93" t="s">
        <v>42</v>
      </c>
      <c r="J93">
        <v>0.157873033</v>
      </c>
      <c r="K93">
        <v>12600</v>
      </c>
      <c r="L93">
        <v>176288.92</v>
      </c>
      <c r="M93">
        <v>28033.09</v>
      </c>
      <c r="N93">
        <v>12.96</v>
      </c>
      <c r="O93">
        <v>163296</v>
      </c>
      <c r="P93">
        <v>25780.03</v>
      </c>
      <c r="Q93">
        <v>0</v>
      </c>
      <c r="R93">
        <v>0</v>
      </c>
      <c r="S93">
        <v>0.013</v>
      </c>
      <c r="T93" t="s">
        <v>25</v>
      </c>
    </row>
    <row r="94" spans="1:20" ht="15">
      <c r="A94" t="s">
        <v>19</v>
      </c>
      <c r="B94" t="s">
        <v>20</v>
      </c>
      <c r="C94" t="str">
        <f t="shared" si="1"/>
        <v>31-Dec-21</v>
      </c>
      <c r="D94" t="s">
        <v>21</v>
      </c>
      <c r="E94" t="s">
        <v>22</v>
      </c>
      <c r="F94" t="str">
        <f>"B27WYK0"</f>
        <v>B27WYK0</v>
      </c>
      <c r="G94" t="s">
        <v>119</v>
      </c>
      <c r="I94" t="s">
        <v>42</v>
      </c>
      <c r="J94">
        <v>0.157873033</v>
      </c>
      <c r="K94">
        <v>15270</v>
      </c>
      <c r="L94">
        <v>346428.69</v>
      </c>
      <c r="M94">
        <v>69842.9</v>
      </c>
      <c r="N94">
        <v>27.49</v>
      </c>
      <c r="O94">
        <v>419772.3</v>
      </c>
      <c r="P94">
        <v>66270.73</v>
      </c>
      <c r="Q94">
        <v>3431.74</v>
      </c>
      <c r="R94">
        <v>541.78</v>
      </c>
      <c r="S94">
        <v>0.033</v>
      </c>
      <c r="T94" t="s">
        <v>25</v>
      </c>
    </row>
    <row r="95" spans="1:20" ht="15">
      <c r="A95" t="s">
        <v>19</v>
      </c>
      <c r="B95" t="s">
        <v>20</v>
      </c>
      <c r="C95" t="str">
        <f t="shared" si="1"/>
        <v>31-Dec-21</v>
      </c>
      <c r="D95" t="s">
        <v>21</v>
      </c>
      <c r="E95" t="s">
        <v>22</v>
      </c>
      <c r="F95" t="str">
        <f>"B02GKC7"</f>
        <v>B02GKC7</v>
      </c>
      <c r="G95" t="s">
        <v>120</v>
      </c>
      <c r="I95" t="s">
        <v>42</v>
      </c>
      <c r="J95">
        <v>0.157873033</v>
      </c>
      <c r="K95">
        <v>24431</v>
      </c>
      <c r="L95">
        <v>898899.72</v>
      </c>
      <c r="M95">
        <v>184695.24</v>
      </c>
      <c r="N95">
        <v>60.11</v>
      </c>
      <c r="O95">
        <v>1468547.41</v>
      </c>
      <c r="P95">
        <v>231844.03</v>
      </c>
      <c r="Q95">
        <v>0</v>
      </c>
      <c r="R95">
        <v>0</v>
      </c>
      <c r="S95">
        <v>0.115</v>
      </c>
      <c r="T95" t="s">
        <v>25</v>
      </c>
    </row>
    <row r="96" spans="1:20" ht="15">
      <c r="A96" t="s">
        <v>19</v>
      </c>
      <c r="B96" t="s">
        <v>20</v>
      </c>
      <c r="C96" t="str">
        <f t="shared" si="1"/>
        <v>31-Dec-21</v>
      </c>
      <c r="D96" t="s">
        <v>21</v>
      </c>
      <c r="E96" t="s">
        <v>22</v>
      </c>
      <c r="F96" t="str">
        <f>"BN71RB6"</f>
        <v>BN71RB6</v>
      </c>
      <c r="G96" t="s">
        <v>121</v>
      </c>
      <c r="I96" t="s">
        <v>42</v>
      </c>
      <c r="J96">
        <v>0.157873033</v>
      </c>
      <c r="K96">
        <v>31300</v>
      </c>
      <c r="L96">
        <v>340892.5</v>
      </c>
      <c r="M96">
        <v>98154.3</v>
      </c>
      <c r="N96">
        <v>13.15</v>
      </c>
      <c r="O96">
        <v>411595</v>
      </c>
      <c r="P96">
        <v>64979.75</v>
      </c>
      <c r="Q96">
        <v>7241.76</v>
      </c>
      <c r="R96">
        <v>1143.28</v>
      </c>
      <c r="S96">
        <v>0.033</v>
      </c>
      <c r="T96" t="s">
        <v>25</v>
      </c>
    </row>
    <row r="97" spans="1:20" ht="15">
      <c r="A97" t="s">
        <v>19</v>
      </c>
      <c r="B97" t="s">
        <v>20</v>
      </c>
      <c r="C97" t="str">
        <f t="shared" si="1"/>
        <v>31-Dec-21</v>
      </c>
      <c r="D97" t="s">
        <v>21</v>
      </c>
      <c r="E97" t="s">
        <v>22</v>
      </c>
      <c r="F97" t="str">
        <f>"B10LQP6"</f>
        <v>B10LQP6</v>
      </c>
      <c r="G97" t="s">
        <v>122</v>
      </c>
      <c r="I97" t="s">
        <v>42</v>
      </c>
      <c r="J97">
        <v>0.157873033</v>
      </c>
      <c r="K97">
        <v>18000</v>
      </c>
      <c r="L97">
        <v>385671.46</v>
      </c>
      <c r="M97">
        <v>72673.23</v>
      </c>
      <c r="N97">
        <v>28.64</v>
      </c>
      <c r="O97">
        <v>515520</v>
      </c>
      <c r="P97">
        <v>81386.71</v>
      </c>
      <c r="Q97">
        <v>2340</v>
      </c>
      <c r="R97">
        <v>369.42</v>
      </c>
      <c r="S97">
        <v>0.041</v>
      </c>
      <c r="T97" t="s">
        <v>25</v>
      </c>
    </row>
    <row r="98" spans="1:20" ht="15">
      <c r="A98" t="s">
        <v>19</v>
      </c>
      <c r="B98" t="s">
        <v>20</v>
      </c>
      <c r="C98" t="str">
        <f t="shared" si="1"/>
        <v>31-Dec-21</v>
      </c>
      <c r="D98" t="s">
        <v>21</v>
      </c>
      <c r="E98" t="s">
        <v>22</v>
      </c>
      <c r="F98" t="str">
        <f>"B6XFBX3"</f>
        <v>B6XFBX3</v>
      </c>
      <c r="G98" t="s">
        <v>123</v>
      </c>
      <c r="I98" t="s">
        <v>42</v>
      </c>
      <c r="J98">
        <v>0.157873033</v>
      </c>
      <c r="K98">
        <v>14939</v>
      </c>
      <c r="L98">
        <v>701670.93</v>
      </c>
      <c r="M98">
        <v>186112.04</v>
      </c>
      <c r="N98">
        <v>48.19</v>
      </c>
      <c r="O98">
        <v>719910.41</v>
      </c>
      <c r="P98">
        <v>113654.44</v>
      </c>
      <c r="Q98">
        <v>48777.69</v>
      </c>
      <c r="R98">
        <v>7700.69</v>
      </c>
      <c r="S98">
        <v>0.06</v>
      </c>
      <c r="T98" t="s">
        <v>25</v>
      </c>
    </row>
    <row r="99" spans="1:20" ht="15">
      <c r="A99" t="s">
        <v>19</v>
      </c>
      <c r="B99" t="s">
        <v>20</v>
      </c>
      <c r="C99" t="str">
        <f t="shared" si="1"/>
        <v>31-Dec-21</v>
      </c>
      <c r="D99" t="s">
        <v>21</v>
      </c>
      <c r="E99" t="s">
        <v>22</v>
      </c>
      <c r="F99" t="str">
        <f>"B1G8KX7"</f>
        <v>B1G8KX7</v>
      </c>
      <c r="G99" t="s">
        <v>124</v>
      </c>
      <c r="I99" t="s">
        <v>42</v>
      </c>
      <c r="J99">
        <v>0.157873033</v>
      </c>
      <c r="K99">
        <v>7000</v>
      </c>
      <c r="L99">
        <v>143214.06</v>
      </c>
      <c r="M99">
        <v>37216.21</v>
      </c>
      <c r="N99">
        <v>36.37</v>
      </c>
      <c r="O99">
        <v>254590</v>
      </c>
      <c r="P99">
        <v>40192.9</v>
      </c>
      <c r="Q99">
        <v>0</v>
      </c>
      <c r="R99">
        <v>0</v>
      </c>
      <c r="S99">
        <v>0.02</v>
      </c>
      <c r="T99" t="s">
        <v>25</v>
      </c>
    </row>
    <row r="100" spans="1:20" ht="15">
      <c r="A100" t="s">
        <v>19</v>
      </c>
      <c r="B100" t="s">
        <v>20</v>
      </c>
      <c r="C100" t="str">
        <f t="shared" si="1"/>
        <v>31-Dec-21</v>
      </c>
      <c r="D100" t="s">
        <v>21</v>
      </c>
      <c r="E100" t="s">
        <v>22</v>
      </c>
      <c r="F100" t="str">
        <f>"B0FHTN1"</f>
        <v>B0FHTN1</v>
      </c>
      <c r="G100" t="s">
        <v>125</v>
      </c>
      <c r="I100" t="s">
        <v>42</v>
      </c>
      <c r="J100">
        <v>0.157873033</v>
      </c>
      <c r="K100">
        <v>28600</v>
      </c>
      <c r="L100">
        <v>885650.75</v>
      </c>
      <c r="M100">
        <v>247513.66</v>
      </c>
      <c r="N100">
        <v>14.54</v>
      </c>
      <c r="O100">
        <v>415844</v>
      </c>
      <c r="P100">
        <v>65650.55</v>
      </c>
      <c r="Q100">
        <v>0</v>
      </c>
      <c r="R100">
        <v>0</v>
      </c>
      <c r="S100">
        <v>0.033</v>
      </c>
      <c r="T100" t="s">
        <v>25</v>
      </c>
    </row>
    <row r="101" spans="1:20" ht="15">
      <c r="A101" t="s">
        <v>19</v>
      </c>
      <c r="B101" t="s">
        <v>20</v>
      </c>
      <c r="C101" t="str">
        <f t="shared" si="1"/>
        <v>31-Dec-21</v>
      </c>
      <c r="D101" t="s">
        <v>21</v>
      </c>
      <c r="E101" t="s">
        <v>22</v>
      </c>
      <c r="F101" t="str">
        <f>"2386009"</f>
        <v>2386009</v>
      </c>
      <c r="G101" t="s">
        <v>126</v>
      </c>
      <c r="I101" t="s">
        <v>42</v>
      </c>
      <c r="J101">
        <v>0.157873033</v>
      </c>
      <c r="K101">
        <v>20600</v>
      </c>
      <c r="L101">
        <v>226045.27</v>
      </c>
      <c r="M101">
        <v>36002.01</v>
      </c>
      <c r="N101">
        <v>15.16</v>
      </c>
      <c r="O101">
        <v>312296</v>
      </c>
      <c r="P101">
        <v>49303.12</v>
      </c>
      <c r="Q101">
        <v>0</v>
      </c>
      <c r="R101">
        <v>0</v>
      </c>
      <c r="S101">
        <v>0.024</v>
      </c>
      <c r="T101" t="s">
        <v>25</v>
      </c>
    </row>
    <row r="102" spans="1:20" ht="15">
      <c r="A102" t="s">
        <v>19</v>
      </c>
      <c r="B102" t="s">
        <v>20</v>
      </c>
      <c r="C102" t="str">
        <f t="shared" si="1"/>
        <v>31-Dec-21</v>
      </c>
      <c r="D102" t="s">
        <v>21</v>
      </c>
      <c r="E102" t="s">
        <v>22</v>
      </c>
      <c r="F102" t="str">
        <f>"2196286"</f>
        <v>2196286</v>
      </c>
      <c r="G102" t="s">
        <v>127</v>
      </c>
      <c r="I102" t="s">
        <v>42</v>
      </c>
      <c r="J102">
        <v>0.157873033</v>
      </c>
      <c r="K102">
        <v>129500</v>
      </c>
      <c r="L102">
        <v>6724001.94</v>
      </c>
      <c r="M102">
        <v>1397268.56</v>
      </c>
      <c r="N102">
        <v>77.96</v>
      </c>
      <c r="O102">
        <v>10095820</v>
      </c>
      <c r="P102">
        <v>1593857.73</v>
      </c>
      <c r="Q102">
        <v>0</v>
      </c>
      <c r="R102">
        <v>0</v>
      </c>
      <c r="S102">
        <v>0.79</v>
      </c>
      <c r="T102" t="s">
        <v>25</v>
      </c>
    </row>
    <row r="103" spans="1:20" ht="15">
      <c r="A103" t="s">
        <v>19</v>
      </c>
      <c r="B103" t="s">
        <v>20</v>
      </c>
      <c r="C103" t="str">
        <f t="shared" si="1"/>
        <v>31-Dec-21</v>
      </c>
      <c r="D103" t="s">
        <v>21</v>
      </c>
      <c r="E103" t="s">
        <v>22</v>
      </c>
      <c r="F103" t="str">
        <f>"BKSF0G2"</f>
        <v>BKSF0G2</v>
      </c>
      <c r="G103" t="s">
        <v>128</v>
      </c>
      <c r="I103" t="s">
        <v>42</v>
      </c>
      <c r="J103">
        <v>0.157873033</v>
      </c>
      <c r="K103">
        <v>63415</v>
      </c>
      <c r="L103">
        <v>910681.64</v>
      </c>
      <c r="M103">
        <v>159957.69</v>
      </c>
      <c r="N103">
        <v>5.25</v>
      </c>
      <c r="O103">
        <v>332928.75</v>
      </c>
      <c r="P103">
        <v>52560.47</v>
      </c>
      <c r="Q103">
        <v>0</v>
      </c>
      <c r="R103">
        <v>0</v>
      </c>
      <c r="S103">
        <v>0.026</v>
      </c>
      <c r="T103" t="s">
        <v>25</v>
      </c>
    </row>
    <row r="104" spans="1:20" ht="15">
      <c r="A104" t="s">
        <v>19</v>
      </c>
      <c r="B104" t="s">
        <v>20</v>
      </c>
      <c r="C104" t="str">
        <f t="shared" si="1"/>
        <v>31-Dec-21</v>
      </c>
      <c r="D104" t="s">
        <v>21</v>
      </c>
      <c r="E104" t="s">
        <v>22</v>
      </c>
      <c r="F104" t="str">
        <f>"BPBLV81"</f>
        <v>BPBLV81</v>
      </c>
      <c r="G104" t="s">
        <v>129</v>
      </c>
      <c r="I104" t="s">
        <v>42</v>
      </c>
      <c r="J104">
        <v>0.157873033</v>
      </c>
      <c r="K104">
        <v>41200</v>
      </c>
      <c r="L104">
        <v>1006798.01</v>
      </c>
      <c r="M104">
        <v>207060.03</v>
      </c>
      <c r="N104">
        <v>21.4</v>
      </c>
      <c r="O104">
        <v>881680</v>
      </c>
      <c r="P104">
        <v>139193.5</v>
      </c>
      <c r="Q104">
        <v>0</v>
      </c>
      <c r="R104">
        <v>0</v>
      </c>
      <c r="S104">
        <v>0.069</v>
      </c>
      <c r="T104" t="s">
        <v>25</v>
      </c>
    </row>
    <row r="105" spans="1:20" ht="15">
      <c r="A105" t="s">
        <v>19</v>
      </c>
      <c r="B105" t="s">
        <v>20</v>
      </c>
      <c r="C105" t="str">
        <f t="shared" si="1"/>
        <v>31-Dec-21</v>
      </c>
      <c r="D105" t="s">
        <v>21</v>
      </c>
      <c r="E105" t="s">
        <v>22</v>
      </c>
      <c r="F105" t="str">
        <f>"2945422"</f>
        <v>2945422</v>
      </c>
      <c r="G105" t="s">
        <v>130</v>
      </c>
      <c r="I105" t="s">
        <v>42</v>
      </c>
      <c r="J105">
        <v>0.157873033</v>
      </c>
      <c r="K105">
        <v>49724</v>
      </c>
      <c r="L105">
        <v>445046.62</v>
      </c>
      <c r="M105">
        <v>102094.24</v>
      </c>
      <c r="N105">
        <v>32.98</v>
      </c>
      <c r="O105">
        <v>1639897.52</v>
      </c>
      <c r="P105">
        <v>258895.6</v>
      </c>
      <c r="Q105">
        <v>3072.14</v>
      </c>
      <c r="R105">
        <v>485.01</v>
      </c>
      <c r="S105">
        <v>0.129</v>
      </c>
      <c r="T105" t="s">
        <v>25</v>
      </c>
    </row>
    <row r="106" spans="1:20" ht="15">
      <c r="A106" t="s">
        <v>19</v>
      </c>
      <c r="B106" t="s">
        <v>20</v>
      </c>
      <c r="C106" t="str">
        <f t="shared" si="1"/>
        <v>31-Dec-21</v>
      </c>
      <c r="D106" t="s">
        <v>21</v>
      </c>
      <c r="E106" t="s">
        <v>22</v>
      </c>
      <c r="F106" t="str">
        <f>"BJGV3C2"</f>
        <v>BJGV3C2</v>
      </c>
      <c r="G106" t="s">
        <v>131</v>
      </c>
      <c r="I106" t="s">
        <v>42</v>
      </c>
      <c r="J106">
        <v>0.157873033</v>
      </c>
      <c r="K106">
        <v>9100</v>
      </c>
      <c r="L106">
        <v>215619.29</v>
      </c>
      <c r="M106">
        <v>49954.26</v>
      </c>
      <c r="N106">
        <v>20.56</v>
      </c>
      <c r="O106">
        <v>187096</v>
      </c>
      <c r="P106">
        <v>29537.41</v>
      </c>
      <c r="Q106">
        <v>0</v>
      </c>
      <c r="R106">
        <v>0</v>
      </c>
      <c r="S106">
        <v>0.015</v>
      </c>
      <c r="T106" t="s">
        <v>25</v>
      </c>
    </row>
    <row r="107" spans="1:20" ht="15">
      <c r="A107" t="s">
        <v>19</v>
      </c>
      <c r="B107" t="s">
        <v>20</v>
      </c>
      <c r="C107" t="str">
        <f t="shared" si="1"/>
        <v>31-Dec-21</v>
      </c>
      <c r="D107" t="s">
        <v>21</v>
      </c>
      <c r="E107" t="s">
        <v>39</v>
      </c>
      <c r="I107" t="s">
        <v>42</v>
      </c>
      <c r="J107">
        <v>0.157873033</v>
      </c>
      <c r="K107">
        <v>0</v>
      </c>
      <c r="L107">
        <v>651702.22</v>
      </c>
      <c r="M107">
        <v>102034.51</v>
      </c>
      <c r="N107">
        <v>0</v>
      </c>
      <c r="O107">
        <v>651702.22</v>
      </c>
      <c r="P107">
        <v>102886.22</v>
      </c>
      <c r="Q107">
        <v>0</v>
      </c>
      <c r="R107">
        <v>0</v>
      </c>
      <c r="S107">
        <v>0.051</v>
      </c>
      <c r="T107" t="s">
        <v>132</v>
      </c>
    </row>
    <row r="108" spans="1:20" ht="15">
      <c r="A108" t="s">
        <v>19</v>
      </c>
      <c r="B108" t="s">
        <v>20</v>
      </c>
      <c r="C108" t="str">
        <f t="shared" si="1"/>
        <v>31-Dec-21</v>
      </c>
      <c r="D108" t="s">
        <v>21</v>
      </c>
      <c r="E108" t="s">
        <v>22</v>
      </c>
      <c r="F108" t="str">
        <f>"BNK8YV3"</f>
        <v>BNK8YV3</v>
      </c>
      <c r="G108" t="s">
        <v>133</v>
      </c>
      <c r="I108" t="s">
        <v>134</v>
      </c>
      <c r="J108">
        <v>0.001032104</v>
      </c>
      <c r="K108">
        <v>164943</v>
      </c>
      <c r="L108">
        <v>45335406.37</v>
      </c>
      <c r="M108">
        <v>63400.3</v>
      </c>
      <c r="N108">
        <v>132.82</v>
      </c>
      <c r="O108">
        <v>21907729.26</v>
      </c>
      <c r="P108">
        <v>22611.06</v>
      </c>
      <c r="Q108">
        <v>0</v>
      </c>
      <c r="R108">
        <v>0</v>
      </c>
      <c r="S108">
        <v>0.011</v>
      </c>
      <c r="T108" t="s">
        <v>25</v>
      </c>
    </row>
    <row r="109" spans="1:20" ht="15">
      <c r="A109" t="s">
        <v>19</v>
      </c>
      <c r="B109" t="s">
        <v>20</v>
      </c>
      <c r="C109" t="str">
        <f t="shared" si="1"/>
        <v>31-Dec-21</v>
      </c>
      <c r="D109" t="s">
        <v>21</v>
      </c>
      <c r="E109" t="s">
        <v>22</v>
      </c>
      <c r="F109" t="str">
        <f>"2000257"</f>
        <v>2000257</v>
      </c>
      <c r="G109" t="s">
        <v>135</v>
      </c>
      <c r="I109" t="s">
        <v>134</v>
      </c>
      <c r="J109">
        <v>0.001032104</v>
      </c>
      <c r="K109">
        <v>2091579</v>
      </c>
      <c r="L109">
        <v>75486089.05</v>
      </c>
      <c r="M109">
        <v>98650.13</v>
      </c>
      <c r="N109">
        <v>34.25</v>
      </c>
      <c r="O109">
        <v>71636580.75</v>
      </c>
      <c r="P109">
        <v>73936.42</v>
      </c>
      <c r="Q109">
        <v>0</v>
      </c>
      <c r="R109">
        <v>0</v>
      </c>
      <c r="S109">
        <v>0.037</v>
      </c>
      <c r="T109" t="s">
        <v>25</v>
      </c>
    </row>
    <row r="110" spans="1:20" ht="15">
      <c r="A110" t="s">
        <v>19</v>
      </c>
      <c r="B110" t="s">
        <v>20</v>
      </c>
      <c r="C110" t="str">
        <f t="shared" si="1"/>
        <v>31-Dec-21</v>
      </c>
      <c r="D110" t="s">
        <v>21</v>
      </c>
      <c r="E110" t="s">
        <v>22</v>
      </c>
      <c r="F110" t="str">
        <f>"2100845"</f>
        <v>2100845</v>
      </c>
      <c r="G110" t="s">
        <v>136</v>
      </c>
      <c r="I110" t="s">
        <v>134</v>
      </c>
      <c r="J110">
        <v>0.001032104</v>
      </c>
      <c r="K110">
        <v>1482297</v>
      </c>
      <c r="L110">
        <v>122825701.23</v>
      </c>
      <c r="M110">
        <v>159347.34</v>
      </c>
      <c r="N110">
        <v>66.56</v>
      </c>
      <c r="O110">
        <v>98661688.32</v>
      </c>
      <c r="P110">
        <v>101829.14</v>
      </c>
      <c r="Q110">
        <v>0</v>
      </c>
      <c r="R110">
        <v>0</v>
      </c>
      <c r="S110">
        <v>0.05</v>
      </c>
      <c r="T110" t="s">
        <v>25</v>
      </c>
    </row>
    <row r="111" spans="1:20" ht="15">
      <c r="A111" t="s">
        <v>19</v>
      </c>
      <c r="B111" t="s">
        <v>20</v>
      </c>
      <c r="C111" t="str">
        <f t="shared" si="1"/>
        <v>31-Dec-21</v>
      </c>
      <c r="D111" t="s">
        <v>21</v>
      </c>
      <c r="E111" t="s">
        <v>22</v>
      </c>
      <c r="F111" t="str">
        <f>"2069355"</f>
        <v>2069355</v>
      </c>
      <c r="G111" t="s">
        <v>137</v>
      </c>
      <c r="I111" t="s">
        <v>134</v>
      </c>
      <c r="J111">
        <v>0.001032104</v>
      </c>
      <c r="K111">
        <v>1738</v>
      </c>
      <c r="L111">
        <v>46115349.72</v>
      </c>
      <c r="M111">
        <v>61177.58</v>
      </c>
      <c r="N111">
        <v>24890</v>
      </c>
      <c r="O111">
        <v>43258820</v>
      </c>
      <c r="P111">
        <v>44647.61</v>
      </c>
      <c r="Q111">
        <v>0</v>
      </c>
      <c r="R111">
        <v>0</v>
      </c>
      <c r="S111">
        <v>0.022</v>
      </c>
      <c r="T111" t="s">
        <v>25</v>
      </c>
    </row>
    <row r="112" spans="1:20" ht="15">
      <c r="A112" t="s">
        <v>19</v>
      </c>
      <c r="B112" t="s">
        <v>20</v>
      </c>
      <c r="C112" t="str">
        <f t="shared" si="1"/>
        <v>31-Dec-21</v>
      </c>
      <c r="D112" t="s">
        <v>21</v>
      </c>
      <c r="E112" t="s">
        <v>22</v>
      </c>
      <c r="F112" t="str">
        <f>"2174312"</f>
        <v>2174312</v>
      </c>
      <c r="G112" t="s">
        <v>138</v>
      </c>
      <c r="I112" t="s">
        <v>134</v>
      </c>
      <c r="J112">
        <v>0.001032104</v>
      </c>
      <c r="K112">
        <v>3607</v>
      </c>
      <c r="L112">
        <v>45123570</v>
      </c>
      <c r="M112">
        <v>52904.64</v>
      </c>
      <c r="N112">
        <v>8300</v>
      </c>
      <c r="O112">
        <v>29938100</v>
      </c>
      <c r="P112">
        <v>30899.24</v>
      </c>
      <c r="Q112">
        <v>0</v>
      </c>
      <c r="R112">
        <v>0</v>
      </c>
      <c r="S112">
        <v>0.015</v>
      </c>
      <c r="T112" t="s">
        <v>25</v>
      </c>
    </row>
    <row r="113" spans="1:20" ht="15">
      <c r="A113" t="s">
        <v>19</v>
      </c>
      <c r="B113" t="s">
        <v>20</v>
      </c>
      <c r="C113" t="str">
        <f t="shared" si="1"/>
        <v>31-Dec-21</v>
      </c>
      <c r="D113" t="s">
        <v>21</v>
      </c>
      <c r="E113" t="s">
        <v>22</v>
      </c>
      <c r="F113" t="str">
        <f>"B00R3L2"</f>
        <v>B00R3L2</v>
      </c>
      <c r="G113" t="s">
        <v>139</v>
      </c>
      <c r="I113" t="s">
        <v>134</v>
      </c>
      <c r="J113">
        <v>0.001032104</v>
      </c>
      <c r="K113">
        <v>46073</v>
      </c>
      <c r="L113">
        <v>85152999.43</v>
      </c>
      <c r="M113">
        <v>118276.84</v>
      </c>
      <c r="N113">
        <v>1425</v>
      </c>
      <c r="O113">
        <v>65654025</v>
      </c>
      <c r="P113">
        <v>67761.8</v>
      </c>
      <c r="Q113">
        <v>0</v>
      </c>
      <c r="R113">
        <v>0</v>
      </c>
      <c r="S113">
        <v>0.034</v>
      </c>
      <c r="T113" t="s">
        <v>25</v>
      </c>
    </row>
    <row r="114" spans="1:20" ht="15">
      <c r="A114" t="s">
        <v>19</v>
      </c>
      <c r="B114" t="s">
        <v>20</v>
      </c>
      <c r="C114" t="str">
        <f t="shared" si="1"/>
        <v>31-Dec-21</v>
      </c>
      <c r="D114" t="s">
        <v>21</v>
      </c>
      <c r="E114" t="s">
        <v>22</v>
      </c>
      <c r="F114" t="str">
        <f>"BK5XJM8"</f>
        <v>BK5XJM8</v>
      </c>
      <c r="G114" t="s">
        <v>140</v>
      </c>
      <c r="I114" t="s">
        <v>134</v>
      </c>
      <c r="J114">
        <v>0.001032104</v>
      </c>
      <c r="K114">
        <v>16335</v>
      </c>
      <c r="L114">
        <v>27448406.3</v>
      </c>
      <c r="M114">
        <v>32243.27</v>
      </c>
      <c r="N114">
        <v>1011</v>
      </c>
      <c r="O114">
        <v>16514685</v>
      </c>
      <c r="P114">
        <v>17044.88</v>
      </c>
      <c r="Q114">
        <v>0</v>
      </c>
      <c r="R114">
        <v>0</v>
      </c>
      <c r="S114">
        <v>0.008</v>
      </c>
      <c r="T114" t="s">
        <v>25</v>
      </c>
    </row>
    <row r="115" spans="1:20" ht="15">
      <c r="A115" t="s">
        <v>19</v>
      </c>
      <c r="B115" t="s">
        <v>20</v>
      </c>
      <c r="C115" t="str">
        <f t="shared" si="1"/>
        <v>31-Dec-21</v>
      </c>
      <c r="D115" t="s">
        <v>21</v>
      </c>
      <c r="E115" t="s">
        <v>22</v>
      </c>
      <c r="F115" t="str">
        <f>"2196338"</f>
        <v>2196338</v>
      </c>
      <c r="G115" t="s">
        <v>141</v>
      </c>
      <c r="I115" t="s">
        <v>134</v>
      </c>
      <c r="J115">
        <v>0.001032104</v>
      </c>
      <c r="K115">
        <v>397921</v>
      </c>
      <c r="L115">
        <v>15929573.34</v>
      </c>
      <c r="M115">
        <v>18676.46</v>
      </c>
      <c r="N115">
        <v>73.2</v>
      </c>
      <c r="O115">
        <v>29127817.2</v>
      </c>
      <c r="P115">
        <v>30062.94</v>
      </c>
      <c r="Q115">
        <v>0</v>
      </c>
      <c r="R115">
        <v>0</v>
      </c>
      <c r="S115">
        <v>0.015</v>
      </c>
      <c r="T115" t="s">
        <v>25</v>
      </c>
    </row>
    <row r="116" spans="1:20" ht="15">
      <c r="A116" t="s">
        <v>19</v>
      </c>
      <c r="B116" t="s">
        <v>20</v>
      </c>
      <c r="C116" t="str">
        <f t="shared" si="1"/>
        <v>31-Dec-21</v>
      </c>
      <c r="D116" t="s">
        <v>21</v>
      </c>
      <c r="E116" t="s">
        <v>22</v>
      </c>
      <c r="F116" t="str">
        <f>"2309255"</f>
        <v>2309255</v>
      </c>
      <c r="G116" t="s">
        <v>142</v>
      </c>
      <c r="I116" t="s">
        <v>134</v>
      </c>
      <c r="J116">
        <v>0.001032104</v>
      </c>
      <c r="K116">
        <v>401774</v>
      </c>
      <c r="L116">
        <v>52808885.19</v>
      </c>
      <c r="M116">
        <v>66496.96</v>
      </c>
      <c r="N116">
        <v>69.3</v>
      </c>
      <c r="O116">
        <v>27842938.2</v>
      </c>
      <c r="P116">
        <v>28736.81</v>
      </c>
      <c r="Q116">
        <v>0</v>
      </c>
      <c r="R116">
        <v>0</v>
      </c>
      <c r="S116">
        <v>0.014</v>
      </c>
      <c r="T116" t="s">
        <v>25</v>
      </c>
    </row>
    <row r="117" spans="1:20" ht="15">
      <c r="A117" t="s">
        <v>19</v>
      </c>
      <c r="B117" t="s">
        <v>20</v>
      </c>
      <c r="C117" t="str">
        <f t="shared" si="1"/>
        <v>31-Dec-21</v>
      </c>
      <c r="D117" t="s">
        <v>21</v>
      </c>
      <c r="E117" t="s">
        <v>22</v>
      </c>
      <c r="F117" t="str">
        <f>"2311454"</f>
        <v>2311454</v>
      </c>
      <c r="G117" t="s">
        <v>143</v>
      </c>
      <c r="I117" t="s">
        <v>134</v>
      </c>
      <c r="J117">
        <v>0.001032104</v>
      </c>
      <c r="K117">
        <v>8217</v>
      </c>
      <c r="L117">
        <v>19272502.67</v>
      </c>
      <c r="M117">
        <v>25439.46</v>
      </c>
      <c r="N117">
        <v>1850</v>
      </c>
      <c r="O117">
        <v>15201450</v>
      </c>
      <c r="P117">
        <v>15689.48</v>
      </c>
      <c r="Q117">
        <v>0</v>
      </c>
      <c r="R117">
        <v>0</v>
      </c>
      <c r="S117">
        <v>0.008</v>
      </c>
      <c r="T117" t="s">
        <v>25</v>
      </c>
    </row>
    <row r="118" spans="1:20" ht="15">
      <c r="A118" t="s">
        <v>19</v>
      </c>
      <c r="B118" t="s">
        <v>20</v>
      </c>
      <c r="C118" t="str">
        <f t="shared" si="1"/>
        <v>31-Dec-21</v>
      </c>
      <c r="D118" t="s">
        <v>21</v>
      </c>
      <c r="E118" t="s">
        <v>22</v>
      </c>
      <c r="F118" t="str">
        <f>"2297628"</f>
        <v>2297628</v>
      </c>
      <c r="G118" t="s">
        <v>144</v>
      </c>
      <c r="I118" t="s">
        <v>134</v>
      </c>
      <c r="J118">
        <v>0.001032104</v>
      </c>
      <c r="K118">
        <v>7516</v>
      </c>
      <c r="L118">
        <v>50678471.04</v>
      </c>
      <c r="M118">
        <v>70266.87</v>
      </c>
      <c r="N118">
        <v>2879</v>
      </c>
      <c r="O118">
        <v>21638564</v>
      </c>
      <c r="P118">
        <v>22333.25</v>
      </c>
      <c r="Q118">
        <v>0</v>
      </c>
      <c r="R118">
        <v>0</v>
      </c>
      <c r="S118">
        <v>0.011</v>
      </c>
      <c r="T118" t="s">
        <v>25</v>
      </c>
    </row>
    <row r="119" spans="1:20" ht="15">
      <c r="A119" t="s">
        <v>19</v>
      </c>
      <c r="B119" t="s">
        <v>20</v>
      </c>
      <c r="C119" t="str">
        <f t="shared" si="1"/>
        <v>31-Dec-21</v>
      </c>
      <c r="D119" t="s">
        <v>21</v>
      </c>
      <c r="E119" t="s">
        <v>22</v>
      </c>
      <c r="F119" t="str">
        <f>"2196015"</f>
        <v>2196015</v>
      </c>
      <c r="G119" t="s">
        <v>145</v>
      </c>
      <c r="I119" t="s">
        <v>134</v>
      </c>
      <c r="J119">
        <v>0.001032104</v>
      </c>
      <c r="K119">
        <v>39774</v>
      </c>
      <c r="L119">
        <v>65010939.04</v>
      </c>
      <c r="M119">
        <v>85429.44</v>
      </c>
      <c r="N119">
        <v>1428</v>
      </c>
      <c r="O119">
        <v>56797272</v>
      </c>
      <c r="P119">
        <v>58620.7</v>
      </c>
      <c r="Q119">
        <v>0</v>
      </c>
      <c r="R119">
        <v>0</v>
      </c>
      <c r="S119">
        <v>0.029</v>
      </c>
      <c r="T119" t="s">
        <v>25</v>
      </c>
    </row>
    <row r="120" spans="1:20" ht="15">
      <c r="A120" t="s">
        <v>19</v>
      </c>
      <c r="B120" t="s">
        <v>20</v>
      </c>
      <c r="C120" t="str">
        <f t="shared" si="1"/>
        <v>31-Dec-21</v>
      </c>
      <c r="D120" t="s">
        <v>21</v>
      </c>
      <c r="E120" t="s">
        <v>22</v>
      </c>
      <c r="F120" t="str">
        <f>"2196026"</f>
        <v>2196026</v>
      </c>
      <c r="G120" t="s">
        <v>146</v>
      </c>
      <c r="I120" t="s">
        <v>134</v>
      </c>
      <c r="J120">
        <v>0.001032104</v>
      </c>
      <c r="K120">
        <v>16563</v>
      </c>
      <c r="L120">
        <v>124522184.34</v>
      </c>
      <c r="M120">
        <v>166974.3</v>
      </c>
      <c r="N120">
        <v>6586</v>
      </c>
      <c r="O120">
        <v>109083918</v>
      </c>
      <c r="P120">
        <v>112585.97</v>
      </c>
      <c r="Q120">
        <v>0</v>
      </c>
      <c r="R120">
        <v>0</v>
      </c>
      <c r="S120">
        <v>0.056</v>
      </c>
      <c r="T120" t="s">
        <v>25</v>
      </c>
    </row>
    <row r="121" spans="1:20" ht="15">
      <c r="A121" t="s">
        <v>19</v>
      </c>
      <c r="B121" t="s">
        <v>20</v>
      </c>
      <c r="C121" t="str">
        <f t="shared" si="1"/>
        <v>31-Dec-21</v>
      </c>
      <c r="D121" t="s">
        <v>21</v>
      </c>
      <c r="E121" t="s">
        <v>22</v>
      </c>
      <c r="F121" t="str">
        <f>"2299453"</f>
        <v>2299453</v>
      </c>
      <c r="G121" t="s">
        <v>147</v>
      </c>
      <c r="I121" t="s">
        <v>134</v>
      </c>
      <c r="J121">
        <v>0.001032104</v>
      </c>
      <c r="K121">
        <v>618021</v>
      </c>
      <c r="L121">
        <v>67981107.92</v>
      </c>
      <c r="M121">
        <v>86547.9</v>
      </c>
      <c r="N121">
        <v>93</v>
      </c>
      <c r="O121">
        <v>57475953</v>
      </c>
      <c r="P121">
        <v>59321.17</v>
      </c>
      <c r="Q121">
        <v>0</v>
      </c>
      <c r="R121">
        <v>0</v>
      </c>
      <c r="S121">
        <v>0.029</v>
      </c>
      <c r="T121" t="s">
        <v>25</v>
      </c>
    </row>
    <row r="122" spans="1:20" ht="15">
      <c r="A122" t="s">
        <v>19</v>
      </c>
      <c r="B122" t="s">
        <v>20</v>
      </c>
      <c r="C122" t="str">
        <f t="shared" si="1"/>
        <v>31-Dec-21</v>
      </c>
      <c r="D122" t="s">
        <v>21</v>
      </c>
      <c r="E122" t="s">
        <v>22</v>
      </c>
      <c r="F122" t="str">
        <f>"BYMLZD6"</f>
        <v>BYMLZD6</v>
      </c>
      <c r="G122" t="s">
        <v>148</v>
      </c>
      <c r="I122" t="s">
        <v>134</v>
      </c>
      <c r="J122">
        <v>0.001032104</v>
      </c>
      <c r="K122">
        <v>828043</v>
      </c>
      <c r="L122">
        <v>60649985.68</v>
      </c>
      <c r="M122">
        <v>78143.78</v>
      </c>
      <c r="N122">
        <v>29.8</v>
      </c>
      <c r="O122">
        <v>24675681.4</v>
      </c>
      <c r="P122">
        <v>25467.87</v>
      </c>
      <c r="Q122">
        <v>0</v>
      </c>
      <c r="R122">
        <v>0</v>
      </c>
      <c r="S122">
        <v>0.013</v>
      </c>
      <c r="T122" t="s">
        <v>25</v>
      </c>
    </row>
    <row r="123" spans="1:20" ht="15">
      <c r="A123" t="s">
        <v>19</v>
      </c>
      <c r="B123" t="s">
        <v>20</v>
      </c>
      <c r="C123" t="str">
        <f t="shared" si="1"/>
        <v>31-Dec-21</v>
      </c>
      <c r="D123" t="s">
        <v>21</v>
      </c>
      <c r="E123" t="s">
        <v>22</v>
      </c>
      <c r="F123" t="str">
        <f>"2771672"</f>
        <v>2771672</v>
      </c>
      <c r="G123" t="s">
        <v>149</v>
      </c>
      <c r="I123" t="s">
        <v>134</v>
      </c>
      <c r="J123">
        <v>0.001032104</v>
      </c>
      <c r="K123">
        <v>26687</v>
      </c>
      <c r="L123">
        <v>113877482.55</v>
      </c>
      <c r="M123">
        <v>146698.26</v>
      </c>
      <c r="N123">
        <v>2779</v>
      </c>
      <c r="O123">
        <v>74163173</v>
      </c>
      <c r="P123">
        <v>76544.12</v>
      </c>
      <c r="Q123">
        <v>0</v>
      </c>
      <c r="R123">
        <v>0</v>
      </c>
      <c r="S123">
        <v>0.038</v>
      </c>
      <c r="T123" t="s">
        <v>25</v>
      </c>
    </row>
    <row r="124" spans="1:20" ht="15">
      <c r="A124" t="s">
        <v>19</v>
      </c>
      <c r="B124" t="s">
        <v>20</v>
      </c>
      <c r="C124" t="str">
        <f t="shared" si="1"/>
        <v>31-Dec-21</v>
      </c>
      <c r="D124" t="s">
        <v>21</v>
      </c>
      <c r="E124" t="s">
        <v>22</v>
      </c>
      <c r="F124" t="str">
        <f>"BYT25P4"</f>
        <v>BYT25P4</v>
      </c>
      <c r="G124" t="s">
        <v>150</v>
      </c>
      <c r="I124" t="s">
        <v>134</v>
      </c>
      <c r="J124">
        <v>0.001032104</v>
      </c>
      <c r="K124">
        <v>4688670</v>
      </c>
      <c r="L124">
        <v>13352387.98</v>
      </c>
      <c r="M124">
        <v>15790.7</v>
      </c>
      <c r="N124">
        <v>1.648</v>
      </c>
      <c r="O124">
        <v>7726928.16</v>
      </c>
      <c r="P124">
        <v>7975</v>
      </c>
      <c r="Q124">
        <v>0</v>
      </c>
      <c r="R124">
        <v>0</v>
      </c>
      <c r="S124">
        <v>0.004</v>
      </c>
      <c r="T124" t="s">
        <v>25</v>
      </c>
    </row>
    <row r="125" spans="1:20" ht="15">
      <c r="A125" t="s">
        <v>19</v>
      </c>
      <c r="B125" t="s">
        <v>20</v>
      </c>
      <c r="C125" t="str">
        <f t="shared" si="1"/>
        <v>31-Dec-21</v>
      </c>
      <c r="D125" t="s">
        <v>21</v>
      </c>
      <c r="E125" t="s">
        <v>22</v>
      </c>
      <c r="F125" t="str">
        <f>"2684349"</f>
        <v>2684349</v>
      </c>
      <c r="G125" t="s">
        <v>151</v>
      </c>
      <c r="I125" t="s">
        <v>134</v>
      </c>
      <c r="J125">
        <v>0.001032104</v>
      </c>
      <c r="K125">
        <v>30256</v>
      </c>
      <c r="L125">
        <v>51498379.14</v>
      </c>
      <c r="M125">
        <v>67487.75</v>
      </c>
      <c r="N125">
        <v>939.9</v>
      </c>
      <c r="O125">
        <v>28437614.4</v>
      </c>
      <c r="P125">
        <v>29350.58</v>
      </c>
      <c r="Q125">
        <v>0</v>
      </c>
      <c r="R125">
        <v>0</v>
      </c>
      <c r="S125">
        <v>0.015</v>
      </c>
      <c r="T125" t="s">
        <v>25</v>
      </c>
    </row>
    <row r="126" spans="1:20" ht="15">
      <c r="A126" t="s">
        <v>19</v>
      </c>
      <c r="B126" t="s">
        <v>20</v>
      </c>
      <c r="C126" t="str">
        <f t="shared" si="1"/>
        <v>31-Dec-21</v>
      </c>
      <c r="D126" t="s">
        <v>21</v>
      </c>
      <c r="E126" t="s">
        <v>22</v>
      </c>
      <c r="F126" t="str">
        <f>"BYVW0G8"</f>
        <v>BYVW0G8</v>
      </c>
      <c r="G126" t="s">
        <v>152</v>
      </c>
      <c r="I126" t="s">
        <v>134</v>
      </c>
      <c r="J126">
        <v>0.001032104</v>
      </c>
      <c r="K126">
        <v>13090</v>
      </c>
      <c r="L126">
        <v>19387240.31</v>
      </c>
      <c r="M126">
        <v>24918.89</v>
      </c>
      <c r="N126">
        <v>939.01</v>
      </c>
      <c r="O126">
        <v>12291640.9</v>
      </c>
      <c r="P126">
        <v>12686.25</v>
      </c>
      <c r="Q126">
        <v>0</v>
      </c>
      <c r="R126">
        <v>0</v>
      </c>
      <c r="S126">
        <v>0.006</v>
      </c>
      <c r="T126" t="s">
        <v>25</v>
      </c>
    </row>
    <row r="127" spans="1:20" ht="15">
      <c r="A127" t="s">
        <v>19</v>
      </c>
      <c r="B127" t="s">
        <v>20</v>
      </c>
      <c r="C127" t="str">
        <f t="shared" si="1"/>
        <v>31-Dec-21</v>
      </c>
      <c r="D127" t="s">
        <v>21</v>
      </c>
      <c r="E127" t="s">
        <v>22</v>
      </c>
      <c r="F127" t="str">
        <f>"2718301"</f>
        <v>2718301</v>
      </c>
      <c r="G127" t="s">
        <v>153</v>
      </c>
      <c r="I127" t="s">
        <v>134</v>
      </c>
      <c r="J127">
        <v>0.001032104</v>
      </c>
      <c r="K127">
        <v>4272</v>
      </c>
      <c r="L127">
        <v>94218308.33</v>
      </c>
      <c r="M127">
        <v>113441.72</v>
      </c>
      <c r="N127">
        <v>43489</v>
      </c>
      <c r="O127">
        <v>185785008</v>
      </c>
      <c r="P127">
        <v>191749.49</v>
      </c>
      <c r="Q127">
        <v>0</v>
      </c>
      <c r="R127">
        <v>0</v>
      </c>
      <c r="S127">
        <v>0.095</v>
      </c>
      <c r="T127" t="s">
        <v>25</v>
      </c>
    </row>
    <row r="128" spans="1:20" ht="15">
      <c r="A128" t="s">
        <v>19</v>
      </c>
      <c r="B128" t="s">
        <v>20</v>
      </c>
      <c r="C128" t="str">
        <f t="shared" si="1"/>
        <v>31-Dec-21</v>
      </c>
      <c r="D128" t="s">
        <v>21</v>
      </c>
      <c r="E128" t="s">
        <v>39</v>
      </c>
      <c r="I128" t="s">
        <v>134</v>
      </c>
      <c r="J128">
        <v>0.001032104</v>
      </c>
      <c r="K128">
        <v>0</v>
      </c>
      <c r="L128">
        <v>6151357</v>
      </c>
      <c r="M128">
        <v>6579.02</v>
      </c>
      <c r="N128">
        <v>0</v>
      </c>
      <c r="O128">
        <v>6151357</v>
      </c>
      <c r="P128">
        <v>6348.84</v>
      </c>
      <c r="Q128">
        <v>0</v>
      </c>
      <c r="R128">
        <v>0</v>
      </c>
      <c r="S128">
        <v>0.003</v>
      </c>
      <c r="T128" t="s">
        <v>154</v>
      </c>
    </row>
    <row r="129" spans="1:20" ht="15">
      <c r="A129" t="s">
        <v>19</v>
      </c>
      <c r="B129" t="s">
        <v>20</v>
      </c>
      <c r="C129" t="str">
        <f t="shared" si="1"/>
        <v>31-Dec-21</v>
      </c>
      <c r="D129" t="s">
        <v>21</v>
      </c>
      <c r="E129" t="s">
        <v>22</v>
      </c>
      <c r="F129" t="str">
        <f>"BP3R518"</f>
        <v>BP3R518</v>
      </c>
      <c r="G129" t="s">
        <v>155</v>
      </c>
      <c r="I129" t="s">
        <v>156</v>
      </c>
      <c r="J129">
        <v>0.137973404</v>
      </c>
      <c r="K129">
        <v>6000</v>
      </c>
      <c r="L129">
        <v>139718.79</v>
      </c>
      <c r="M129">
        <v>17896</v>
      </c>
      <c r="N129">
        <v>63.46</v>
      </c>
      <c r="O129">
        <v>380760</v>
      </c>
      <c r="P129">
        <v>52534.75</v>
      </c>
      <c r="Q129">
        <v>0</v>
      </c>
      <c r="R129">
        <v>0</v>
      </c>
      <c r="S129">
        <v>0.026</v>
      </c>
      <c r="T129" t="s">
        <v>25</v>
      </c>
    </row>
    <row r="130" spans="1:20" ht="15">
      <c r="A130" t="s">
        <v>19</v>
      </c>
      <c r="B130" t="s">
        <v>20</v>
      </c>
      <c r="C130" t="str">
        <f aca="true" t="shared" si="2" ref="C130:C193">"31-Dec-21"</f>
        <v>31-Dec-21</v>
      </c>
      <c r="D130" t="s">
        <v>21</v>
      </c>
      <c r="E130" t="s">
        <v>22</v>
      </c>
      <c r="F130" t="str">
        <f>"BP3R4C2"</f>
        <v>BP3R4C2</v>
      </c>
      <c r="G130" t="s">
        <v>157</v>
      </c>
      <c r="I130" t="s">
        <v>156</v>
      </c>
      <c r="J130">
        <v>0.137973404</v>
      </c>
      <c r="K130">
        <v>46900</v>
      </c>
      <c r="L130">
        <v>225210.94</v>
      </c>
      <c r="M130">
        <v>28601.38</v>
      </c>
      <c r="N130">
        <v>3.97</v>
      </c>
      <c r="O130">
        <v>186193</v>
      </c>
      <c r="P130">
        <v>25689.68</v>
      </c>
      <c r="Q130">
        <v>0</v>
      </c>
      <c r="R130">
        <v>0</v>
      </c>
      <c r="S130">
        <v>0.013</v>
      </c>
      <c r="T130" t="s">
        <v>25</v>
      </c>
    </row>
    <row r="131" spans="1:20" ht="15">
      <c r="A131" t="s">
        <v>19</v>
      </c>
      <c r="B131" t="s">
        <v>20</v>
      </c>
      <c r="C131" t="str">
        <f t="shared" si="2"/>
        <v>31-Dec-21</v>
      </c>
      <c r="D131" t="s">
        <v>21</v>
      </c>
      <c r="E131" t="s">
        <v>22</v>
      </c>
      <c r="F131" t="str">
        <f>"BD5CKF6"</f>
        <v>BD5CKF6</v>
      </c>
      <c r="G131" t="s">
        <v>158</v>
      </c>
      <c r="I131" t="s">
        <v>156</v>
      </c>
      <c r="J131">
        <v>0.137973404</v>
      </c>
      <c r="K131">
        <v>5500</v>
      </c>
      <c r="L131">
        <v>99060.26</v>
      </c>
      <c r="M131">
        <v>12752.4</v>
      </c>
      <c r="N131">
        <v>16.7</v>
      </c>
      <c r="O131">
        <v>91850</v>
      </c>
      <c r="P131">
        <v>12672.86</v>
      </c>
      <c r="Q131">
        <v>0</v>
      </c>
      <c r="R131">
        <v>0</v>
      </c>
      <c r="S131">
        <v>0.006</v>
      </c>
      <c r="T131" t="s">
        <v>25</v>
      </c>
    </row>
    <row r="132" spans="1:20" ht="15">
      <c r="A132" t="s">
        <v>19</v>
      </c>
      <c r="B132" t="s">
        <v>20</v>
      </c>
      <c r="C132" t="str">
        <f t="shared" si="2"/>
        <v>31-Dec-21</v>
      </c>
      <c r="D132" t="s">
        <v>21</v>
      </c>
      <c r="E132" t="s">
        <v>22</v>
      </c>
      <c r="F132" t="str">
        <f>"BK71F66"</f>
        <v>BK71F66</v>
      </c>
      <c r="G132" t="s">
        <v>159</v>
      </c>
      <c r="I132" t="s">
        <v>156</v>
      </c>
      <c r="J132">
        <v>0.137973404</v>
      </c>
      <c r="K132">
        <v>1334</v>
      </c>
      <c r="L132">
        <v>219509.84</v>
      </c>
      <c r="M132">
        <v>30310.71</v>
      </c>
      <c r="N132">
        <v>126.6</v>
      </c>
      <c r="O132">
        <v>168884.4</v>
      </c>
      <c r="P132">
        <v>23301.56</v>
      </c>
      <c r="Q132">
        <v>0</v>
      </c>
      <c r="R132">
        <v>0</v>
      </c>
      <c r="S132">
        <v>0.012</v>
      </c>
      <c r="T132" t="s">
        <v>25</v>
      </c>
    </row>
    <row r="133" spans="1:20" ht="15">
      <c r="A133" t="s">
        <v>19</v>
      </c>
      <c r="B133" t="s">
        <v>20</v>
      </c>
      <c r="C133" t="str">
        <f t="shared" si="2"/>
        <v>31-Dec-21</v>
      </c>
      <c r="D133" t="s">
        <v>21</v>
      </c>
      <c r="E133" t="s">
        <v>22</v>
      </c>
      <c r="F133" t="str">
        <f>"BP3R228"</f>
        <v>BP3R228</v>
      </c>
      <c r="G133" t="s">
        <v>160</v>
      </c>
      <c r="I133" t="s">
        <v>156</v>
      </c>
      <c r="J133">
        <v>0.137973404</v>
      </c>
      <c r="K133">
        <v>301600</v>
      </c>
      <c r="L133">
        <v>1029761.96</v>
      </c>
      <c r="M133">
        <v>131438.72</v>
      </c>
      <c r="N133">
        <v>2.94</v>
      </c>
      <c r="O133">
        <v>886704</v>
      </c>
      <c r="P133">
        <v>122341.57</v>
      </c>
      <c r="Q133">
        <v>0</v>
      </c>
      <c r="R133">
        <v>0</v>
      </c>
      <c r="S133">
        <v>0.061</v>
      </c>
      <c r="T133" t="s">
        <v>25</v>
      </c>
    </row>
    <row r="134" spans="1:20" ht="15">
      <c r="A134" t="s">
        <v>19</v>
      </c>
      <c r="B134" t="s">
        <v>20</v>
      </c>
      <c r="C134" t="str">
        <f t="shared" si="2"/>
        <v>31-Dec-21</v>
      </c>
      <c r="D134" t="s">
        <v>21</v>
      </c>
      <c r="E134" t="s">
        <v>22</v>
      </c>
      <c r="F134" t="str">
        <f>"BD5CLQ4"</f>
        <v>BD5CLQ4</v>
      </c>
      <c r="G134" t="s">
        <v>161</v>
      </c>
      <c r="I134" t="s">
        <v>156</v>
      </c>
      <c r="J134">
        <v>0.137973404</v>
      </c>
      <c r="K134">
        <v>12622</v>
      </c>
      <c r="L134">
        <v>338153.1</v>
      </c>
      <c r="M134">
        <v>43089.41</v>
      </c>
      <c r="N134">
        <v>42.28</v>
      </c>
      <c r="O134">
        <v>533658.16</v>
      </c>
      <c r="P134">
        <v>73630.63</v>
      </c>
      <c r="Q134">
        <v>0</v>
      </c>
      <c r="R134">
        <v>0</v>
      </c>
      <c r="S134">
        <v>0.037</v>
      </c>
      <c r="T134" t="s">
        <v>25</v>
      </c>
    </row>
    <row r="135" spans="1:20" ht="15">
      <c r="A135" t="s">
        <v>19</v>
      </c>
      <c r="B135" t="s">
        <v>20</v>
      </c>
      <c r="C135" t="str">
        <f t="shared" si="2"/>
        <v>31-Dec-21</v>
      </c>
      <c r="D135" t="s">
        <v>21</v>
      </c>
      <c r="E135" t="s">
        <v>22</v>
      </c>
      <c r="F135" t="str">
        <f>"BP3R4G6"</f>
        <v>BP3R4G6</v>
      </c>
      <c r="G135" t="s">
        <v>162</v>
      </c>
      <c r="I135" t="s">
        <v>156</v>
      </c>
      <c r="J135">
        <v>0.137973404</v>
      </c>
      <c r="K135">
        <v>17400</v>
      </c>
      <c r="L135">
        <v>139340.41</v>
      </c>
      <c r="M135">
        <v>17904.82</v>
      </c>
      <c r="N135">
        <v>9.13</v>
      </c>
      <c r="O135">
        <v>158862</v>
      </c>
      <c r="P135">
        <v>21918.73</v>
      </c>
      <c r="Q135">
        <v>0</v>
      </c>
      <c r="R135">
        <v>0</v>
      </c>
      <c r="S135">
        <v>0.011</v>
      </c>
      <c r="T135" t="s">
        <v>25</v>
      </c>
    </row>
    <row r="136" spans="1:20" ht="15">
      <c r="A136" t="s">
        <v>19</v>
      </c>
      <c r="B136" t="s">
        <v>20</v>
      </c>
      <c r="C136" t="str">
        <f t="shared" si="2"/>
        <v>31-Dec-21</v>
      </c>
      <c r="D136" t="s">
        <v>21</v>
      </c>
      <c r="E136" t="s">
        <v>22</v>
      </c>
      <c r="F136" t="str">
        <f>"BP3R4D3"</f>
        <v>BP3R4D3</v>
      </c>
      <c r="G136" t="s">
        <v>163</v>
      </c>
      <c r="I136" t="s">
        <v>156</v>
      </c>
      <c r="J136">
        <v>0.137973404</v>
      </c>
      <c r="K136">
        <v>40600</v>
      </c>
      <c r="L136">
        <v>144275.39</v>
      </c>
      <c r="M136">
        <v>18322.71</v>
      </c>
      <c r="N136">
        <v>6.09</v>
      </c>
      <c r="O136">
        <v>247254</v>
      </c>
      <c r="P136">
        <v>34114.48</v>
      </c>
      <c r="Q136">
        <v>0</v>
      </c>
      <c r="R136">
        <v>0</v>
      </c>
      <c r="S136">
        <v>0.017</v>
      </c>
      <c r="T136" t="s">
        <v>25</v>
      </c>
    </row>
    <row r="137" spans="1:20" ht="15">
      <c r="A137" t="s">
        <v>19</v>
      </c>
      <c r="B137" t="s">
        <v>20</v>
      </c>
      <c r="C137" t="str">
        <f t="shared" si="2"/>
        <v>31-Dec-21</v>
      </c>
      <c r="D137" t="s">
        <v>21</v>
      </c>
      <c r="E137" t="s">
        <v>22</v>
      </c>
      <c r="F137" t="str">
        <f>"BP3RH12"</f>
        <v>BP3RH12</v>
      </c>
      <c r="G137" t="s">
        <v>164</v>
      </c>
      <c r="I137" t="s">
        <v>156</v>
      </c>
      <c r="J137">
        <v>0.137973404</v>
      </c>
      <c r="K137">
        <v>2900</v>
      </c>
      <c r="L137">
        <v>132434.54</v>
      </c>
      <c r="M137">
        <v>16729.24</v>
      </c>
      <c r="N137">
        <v>60.36</v>
      </c>
      <c r="O137">
        <v>175044</v>
      </c>
      <c r="P137">
        <v>24151.42</v>
      </c>
      <c r="Q137">
        <v>0</v>
      </c>
      <c r="R137">
        <v>0</v>
      </c>
      <c r="S137">
        <v>0.012</v>
      </c>
      <c r="T137" t="s">
        <v>25</v>
      </c>
    </row>
    <row r="138" spans="1:20" ht="15">
      <c r="A138" t="s">
        <v>19</v>
      </c>
      <c r="B138" t="s">
        <v>20</v>
      </c>
      <c r="C138" t="str">
        <f t="shared" si="2"/>
        <v>31-Dec-21</v>
      </c>
      <c r="D138" t="s">
        <v>21</v>
      </c>
      <c r="E138" t="s">
        <v>22</v>
      </c>
      <c r="F138" t="str">
        <f>"BP3R2Z1"</f>
        <v>BP3R2Z1</v>
      </c>
      <c r="G138" t="s">
        <v>165</v>
      </c>
      <c r="I138" t="s">
        <v>156</v>
      </c>
      <c r="J138">
        <v>0.137973404</v>
      </c>
      <c r="K138">
        <v>8400</v>
      </c>
      <c r="L138">
        <v>372782.8</v>
      </c>
      <c r="M138">
        <v>47430.16</v>
      </c>
      <c r="N138">
        <v>40.3</v>
      </c>
      <c r="O138">
        <v>338520</v>
      </c>
      <c r="P138">
        <v>46706.76</v>
      </c>
      <c r="Q138">
        <v>0</v>
      </c>
      <c r="R138">
        <v>0</v>
      </c>
      <c r="S138">
        <v>0.023</v>
      </c>
      <c r="T138" t="s">
        <v>25</v>
      </c>
    </row>
    <row r="139" spans="1:20" ht="15">
      <c r="A139" t="s">
        <v>19</v>
      </c>
      <c r="B139" t="s">
        <v>20</v>
      </c>
      <c r="C139" t="str">
        <f t="shared" si="2"/>
        <v>31-Dec-21</v>
      </c>
      <c r="D139" t="s">
        <v>21</v>
      </c>
      <c r="E139" t="s">
        <v>22</v>
      </c>
      <c r="F139" t="str">
        <f>"BD5M1G4"</f>
        <v>BD5M1G4</v>
      </c>
      <c r="G139" t="s">
        <v>166</v>
      </c>
      <c r="I139" t="s">
        <v>156</v>
      </c>
      <c r="J139">
        <v>0.137973404</v>
      </c>
      <c r="K139">
        <v>1400</v>
      </c>
      <c r="L139">
        <v>164238.22</v>
      </c>
      <c r="M139">
        <v>21069.83</v>
      </c>
      <c r="N139">
        <v>244</v>
      </c>
      <c r="O139">
        <v>341600</v>
      </c>
      <c r="P139">
        <v>47131.71</v>
      </c>
      <c r="Q139">
        <v>0</v>
      </c>
      <c r="R139">
        <v>0</v>
      </c>
      <c r="S139">
        <v>0.023</v>
      </c>
      <c r="T139" t="s">
        <v>25</v>
      </c>
    </row>
    <row r="140" spans="1:20" ht="15">
      <c r="A140" t="s">
        <v>19</v>
      </c>
      <c r="B140" t="s">
        <v>20</v>
      </c>
      <c r="C140" t="str">
        <f t="shared" si="2"/>
        <v>31-Dec-21</v>
      </c>
      <c r="D140" t="s">
        <v>21</v>
      </c>
      <c r="E140" t="s">
        <v>22</v>
      </c>
      <c r="F140" t="str">
        <f>"BD6V5C4"</f>
        <v>BD6V5C4</v>
      </c>
      <c r="G140" t="s">
        <v>167</v>
      </c>
      <c r="I140" t="s">
        <v>156</v>
      </c>
      <c r="J140">
        <v>0.137973404</v>
      </c>
      <c r="K140">
        <v>600</v>
      </c>
      <c r="L140">
        <v>135896.69</v>
      </c>
      <c r="M140">
        <v>17166.58</v>
      </c>
      <c r="N140">
        <v>435</v>
      </c>
      <c r="O140">
        <v>261000</v>
      </c>
      <c r="P140">
        <v>36011.06</v>
      </c>
      <c r="Q140">
        <v>0</v>
      </c>
      <c r="R140">
        <v>0</v>
      </c>
      <c r="S140">
        <v>0.018</v>
      </c>
      <c r="T140" t="s">
        <v>25</v>
      </c>
    </row>
    <row r="141" spans="1:20" ht="15">
      <c r="A141" t="s">
        <v>19</v>
      </c>
      <c r="B141" t="s">
        <v>20</v>
      </c>
      <c r="C141" t="str">
        <f t="shared" si="2"/>
        <v>31-Dec-21</v>
      </c>
      <c r="D141" t="s">
        <v>21</v>
      </c>
      <c r="E141" t="s">
        <v>22</v>
      </c>
      <c r="F141" t="str">
        <f>"BYW5N89"</f>
        <v>BYW5N89</v>
      </c>
      <c r="G141" t="s">
        <v>168</v>
      </c>
      <c r="I141" t="s">
        <v>156</v>
      </c>
      <c r="J141">
        <v>0.137973404</v>
      </c>
      <c r="K141">
        <v>780</v>
      </c>
      <c r="L141">
        <v>102705.8</v>
      </c>
      <c r="M141">
        <v>12973.88</v>
      </c>
      <c r="N141">
        <v>55.06</v>
      </c>
      <c r="O141">
        <v>42946.8</v>
      </c>
      <c r="P141">
        <v>5925.52</v>
      </c>
      <c r="Q141">
        <v>0</v>
      </c>
      <c r="R141">
        <v>0</v>
      </c>
      <c r="S141">
        <v>0.003</v>
      </c>
      <c r="T141" t="s">
        <v>25</v>
      </c>
    </row>
    <row r="142" spans="1:20" ht="15">
      <c r="A142" t="s">
        <v>19</v>
      </c>
      <c r="B142" t="s">
        <v>20</v>
      </c>
      <c r="C142" t="str">
        <f t="shared" si="2"/>
        <v>31-Dec-21</v>
      </c>
      <c r="D142" t="s">
        <v>21</v>
      </c>
      <c r="E142" t="s">
        <v>22</v>
      </c>
      <c r="F142" t="str">
        <f>"BKDQ800"</f>
        <v>BKDQ800</v>
      </c>
      <c r="G142" t="s">
        <v>169</v>
      </c>
      <c r="I142" t="s">
        <v>156</v>
      </c>
      <c r="J142">
        <v>0.137973404</v>
      </c>
      <c r="K142">
        <v>1800</v>
      </c>
      <c r="L142">
        <v>89368.07</v>
      </c>
      <c r="M142">
        <v>11569.78</v>
      </c>
      <c r="N142">
        <v>42.43</v>
      </c>
      <c r="O142">
        <v>76374</v>
      </c>
      <c r="P142">
        <v>10537.58</v>
      </c>
      <c r="Q142">
        <v>0</v>
      </c>
      <c r="R142">
        <v>0</v>
      </c>
      <c r="S142">
        <v>0.005</v>
      </c>
      <c r="T142" t="s">
        <v>25</v>
      </c>
    </row>
    <row r="143" spans="1:20" ht="15">
      <c r="A143" t="s">
        <v>19</v>
      </c>
      <c r="B143" t="s">
        <v>20</v>
      </c>
      <c r="C143" t="str">
        <f t="shared" si="2"/>
        <v>31-Dec-21</v>
      </c>
      <c r="D143" t="s">
        <v>21</v>
      </c>
      <c r="E143" t="s">
        <v>22</v>
      </c>
      <c r="F143" t="str">
        <f>"BP3R5N0"</f>
        <v>BP3R5N0</v>
      </c>
      <c r="G143" t="s">
        <v>170</v>
      </c>
      <c r="I143" t="s">
        <v>156</v>
      </c>
      <c r="J143">
        <v>0.137973404</v>
      </c>
      <c r="K143">
        <v>29900</v>
      </c>
      <c r="L143">
        <v>93727.74</v>
      </c>
      <c r="M143">
        <v>11839.76</v>
      </c>
      <c r="N143">
        <v>2.84</v>
      </c>
      <c r="O143">
        <v>84916</v>
      </c>
      <c r="P143">
        <v>11716.15</v>
      </c>
      <c r="Q143">
        <v>0</v>
      </c>
      <c r="R143">
        <v>0</v>
      </c>
      <c r="S143">
        <v>0.006</v>
      </c>
      <c r="T143" t="s">
        <v>25</v>
      </c>
    </row>
    <row r="144" spans="1:20" ht="15">
      <c r="A144" t="s">
        <v>19</v>
      </c>
      <c r="B144" t="s">
        <v>20</v>
      </c>
      <c r="C144" t="str">
        <f t="shared" si="2"/>
        <v>31-Dec-21</v>
      </c>
      <c r="D144" t="s">
        <v>21</v>
      </c>
      <c r="E144" t="s">
        <v>22</v>
      </c>
      <c r="F144" t="str">
        <f>"BD5CPL7"</f>
        <v>BD5CPL7</v>
      </c>
      <c r="G144" t="s">
        <v>171</v>
      </c>
      <c r="I144" t="s">
        <v>156</v>
      </c>
      <c r="J144">
        <v>0.137973404</v>
      </c>
      <c r="K144">
        <v>71900</v>
      </c>
      <c r="L144">
        <v>301296.45</v>
      </c>
      <c r="M144">
        <v>38364.7</v>
      </c>
      <c r="N144">
        <v>5.05</v>
      </c>
      <c r="O144">
        <v>363095</v>
      </c>
      <c r="P144">
        <v>50097.45</v>
      </c>
      <c r="Q144">
        <v>0</v>
      </c>
      <c r="R144">
        <v>0</v>
      </c>
      <c r="S144">
        <v>0.025</v>
      </c>
      <c r="T144" t="s">
        <v>25</v>
      </c>
    </row>
    <row r="145" spans="1:20" ht="15">
      <c r="A145" t="s">
        <v>19</v>
      </c>
      <c r="B145" t="s">
        <v>20</v>
      </c>
      <c r="C145" t="str">
        <f t="shared" si="2"/>
        <v>31-Dec-21</v>
      </c>
      <c r="D145" t="s">
        <v>21</v>
      </c>
      <c r="E145" t="s">
        <v>22</v>
      </c>
      <c r="F145" t="str">
        <f>"BP3RKH9"</f>
        <v>BP3RKH9</v>
      </c>
      <c r="G145" t="s">
        <v>172</v>
      </c>
      <c r="I145" t="s">
        <v>156</v>
      </c>
      <c r="J145">
        <v>0.137973404</v>
      </c>
      <c r="K145">
        <v>3700</v>
      </c>
      <c r="L145">
        <v>74230.15</v>
      </c>
      <c r="M145">
        <v>9440.9</v>
      </c>
      <c r="N145">
        <v>26.13</v>
      </c>
      <c r="O145">
        <v>96681</v>
      </c>
      <c r="P145">
        <v>13339.41</v>
      </c>
      <c r="Q145">
        <v>0</v>
      </c>
      <c r="R145">
        <v>0</v>
      </c>
      <c r="S145">
        <v>0.007</v>
      </c>
      <c r="T145" t="s">
        <v>25</v>
      </c>
    </row>
    <row r="146" spans="1:20" ht="15">
      <c r="A146" t="s">
        <v>19</v>
      </c>
      <c r="B146" t="s">
        <v>20</v>
      </c>
      <c r="C146" t="str">
        <f t="shared" si="2"/>
        <v>31-Dec-21</v>
      </c>
      <c r="D146" t="s">
        <v>21</v>
      </c>
      <c r="E146" t="s">
        <v>22</v>
      </c>
      <c r="F146" t="str">
        <f>"BD5CQ69"</f>
        <v>BD5CQ69</v>
      </c>
      <c r="G146" t="s">
        <v>173</v>
      </c>
      <c r="I146" t="s">
        <v>156</v>
      </c>
      <c r="J146">
        <v>0.137973404</v>
      </c>
      <c r="K146">
        <v>3800</v>
      </c>
      <c r="L146">
        <v>219749.19</v>
      </c>
      <c r="M146">
        <v>27954.23</v>
      </c>
      <c r="N146">
        <v>268.12</v>
      </c>
      <c r="O146">
        <v>1018856</v>
      </c>
      <c r="P146">
        <v>140575.03</v>
      </c>
      <c r="Q146">
        <v>0</v>
      </c>
      <c r="R146">
        <v>0</v>
      </c>
      <c r="S146">
        <v>0.07</v>
      </c>
      <c r="T146" t="s">
        <v>25</v>
      </c>
    </row>
    <row r="147" spans="1:20" ht="15">
      <c r="A147" t="s">
        <v>19</v>
      </c>
      <c r="B147" t="s">
        <v>20</v>
      </c>
      <c r="C147" t="str">
        <f t="shared" si="2"/>
        <v>31-Dec-21</v>
      </c>
      <c r="D147" t="s">
        <v>21</v>
      </c>
      <c r="E147" t="s">
        <v>22</v>
      </c>
      <c r="F147" t="str">
        <f>"BP3R2Y0"</f>
        <v>BP3R2Y0</v>
      </c>
      <c r="G147" t="s">
        <v>174</v>
      </c>
      <c r="I147" t="s">
        <v>156</v>
      </c>
      <c r="J147">
        <v>0.137973404</v>
      </c>
      <c r="K147">
        <v>45800</v>
      </c>
      <c r="L147">
        <v>274336.48</v>
      </c>
      <c r="M147">
        <v>35087.84</v>
      </c>
      <c r="N147">
        <v>7.16</v>
      </c>
      <c r="O147">
        <v>327928</v>
      </c>
      <c r="P147">
        <v>45245.34</v>
      </c>
      <c r="Q147">
        <v>0</v>
      </c>
      <c r="R147">
        <v>0</v>
      </c>
      <c r="S147">
        <v>0.022</v>
      </c>
      <c r="T147" t="s">
        <v>25</v>
      </c>
    </row>
    <row r="148" spans="1:20" ht="15">
      <c r="A148" t="s">
        <v>19</v>
      </c>
      <c r="B148" t="s">
        <v>20</v>
      </c>
      <c r="C148" t="str">
        <f t="shared" si="2"/>
        <v>31-Dec-21</v>
      </c>
      <c r="D148" t="s">
        <v>21</v>
      </c>
      <c r="E148" t="s">
        <v>22</v>
      </c>
      <c r="F148" t="str">
        <f>"BP3R7K1"</f>
        <v>BP3R7K1</v>
      </c>
      <c r="G148" t="s">
        <v>175</v>
      </c>
      <c r="I148" t="s">
        <v>156</v>
      </c>
      <c r="J148">
        <v>0.137973404</v>
      </c>
      <c r="K148">
        <v>33200</v>
      </c>
      <c r="L148">
        <v>99992.84</v>
      </c>
      <c r="M148">
        <v>12745.67</v>
      </c>
      <c r="N148">
        <v>3.41</v>
      </c>
      <c r="O148">
        <v>113212</v>
      </c>
      <c r="P148">
        <v>15620.25</v>
      </c>
      <c r="Q148">
        <v>0</v>
      </c>
      <c r="R148">
        <v>0</v>
      </c>
      <c r="S148">
        <v>0.008</v>
      </c>
      <c r="T148" t="s">
        <v>25</v>
      </c>
    </row>
    <row r="149" spans="1:20" ht="15">
      <c r="A149" t="s">
        <v>19</v>
      </c>
      <c r="B149" t="s">
        <v>20</v>
      </c>
      <c r="C149" t="str">
        <f t="shared" si="2"/>
        <v>31-Dec-21</v>
      </c>
      <c r="D149" t="s">
        <v>21</v>
      </c>
      <c r="E149" t="s">
        <v>22</v>
      </c>
      <c r="F149" t="str">
        <f>"BD5CMP0"</f>
        <v>BD5CMP0</v>
      </c>
      <c r="G149" t="s">
        <v>176</v>
      </c>
      <c r="I149" t="s">
        <v>156</v>
      </c>
      <c r="J149">
        <v>0.137973404</v>
      </c>
      <c r="K149">
        <v>8700</v>
      </c>
      <c r="L149">
        <v>75330.91</v>
      </c>
      <c r="M149">
        <v>9679.02</v>
      </c>
      <c r="N149">
        <v>10.49</v>
      </c>
      <c r="O149">
        <v>91263</v>
      </c>
      <c r="P149">
        <v>12591.87</v>
      </c>
      <c r="Q149">
        <v>0</v>
      </c>
      <c r="R149">
        <v>0</v>
      </c>
      <c r="S149">
        <v>0.006</v>
      </c>
      <c r="T149" t="s">
        <v>25</v>
      </c>
    </row>
    <row r="150" spans="1:20" ht="15">
      <c r="A150" t="s">
        <v>19</v>
      </c>
      <c r="B150" t="s">
        <v>20</v>
      </c>
      <c r="C150" t="str">
        <f t="shared" si="2"/>
        <v>31-Dec-21</v>
      </c>
      <c r="D150" t="s">
        <v>21</v>
      </c>
      <c r="E150" t="s">
        <v>22</v>
      </c>
      <c r="F150" t="str">
        <f>"BD5CD79"</f>
        <v>BD5CD79</v>
      </c>
      <c r="G150" t="s">
        <v>177</v>
      </c>
      <c r="I150" t="s">
        <v>156</v>
      </c>
      <c r="J150">
        <v>0.137973404</v>
      </c>
      <c r="K150">
        <v>2900</v>
      </c>
      <c r="L150">
        <v>94771.65</v>
      </c>
      <c r="M150">
        <v>12080.15</v>
      </c>
      <c r="N150">
        <v>35.35</v>
      </c>
      <c r="O150">
        <v>102515</v>
      </c>
      <c r="P150">
        <v>14144.34</v>
      </c>
      <c r="Q150">
        <v>0</v>
      </c>
      <c r="R150">
        <v>0</v>
      </c>
      <c r="S150">
        <v>0.007</v>
      </c>
      <c r="T150" t="s">
        <v>25</v>
      </c>
    </row>
    <row r="151" spans="1:20" ht="15">
      <c r="A151" t="s">
        <v>19</v>
      </c>
      <c r="B151" t="s">
        <v>20</v>
      </c>
      <c r="C151" t="str">
        <f t="shared" si="2"/>
        <v>31-Dec-21</v>
      </c>
      <c r="D151" t="s">
        <v>21</v>
      </c>
      <c r="E151" t="s">
        <v>22</v>
      </c>
      <c r="F151" t="str">
        <f>"BD5CN79"</f>
        <v>BD5CN79</v>
      </c>
      <c r="G151" t="s">
        <v>178</v>
      </c>
      <c r="I151" t="s">
        <v>156</v>
      </c>
      <c r="J151">
        <v>0.137973404</v>
      </c>
      <c r="K151">
        <v>10500</v>
      </c>
      <c r="L151">
        <v>118900.83</v>
      </c>
      <c r="M151">
        <v>15019.65</v>
      </c>
      <c r="N151">
        <v>12.85</v>
      </c>
      <c r="O151">
        <v>134925</v>
      </c>
      <c r="P151">
        <v>18616.06</v>
      </c>
      <c r="Q151">
        <v>0</v>
      </c>
      <c r="R151">
        <v>0</v>
      </c>
      <c r="S151">
        <v>0.009</v>
      </c>
      <c r="T151" t="s">
        <v>25</v>
      </c>
    </row>
    <row r="152" spans="1:20" ht="15">
      <c r="A152" t="s">
        <v>19</v>
      </c>
      <c r="B152" t="s">
        <v>20</v>
      </c>
      <c r="C152" t="str">
        <f t="shared" si="2"/>
        <v>31-Dec-21</v>
      </c>
      <c r="D152" t="s">
        <v>21</v>
      </c>
      <c r="E152" t="s">
        <v>22</v>
      </c>
      <c r="F152" t="str">
        <f>"BNR4NQ2"</f>
        <v>BNR4NQ2</v>
      </c>
      <c r="G152" t="s">
        <v>179</v>
      </c>
      <c r="I152" t="s">
        <v>156</v>
      </c>
      <c r="J152">
        <v>0.137973404</v>
      </c>
      <c r="K152">
        <v>900</v>
      </c>
      <c r="L152">
        <v>248551.21</v>
      </c>
      <c r="M152">
        <v>34320.85</v>
      </c>
      <c r="N152">
        <v>265</v>
      </c>
      <c r="O152">
        <v>238500</v>
      </c>
      <c r="P152">
        <v>32906.66</v>
      </c>
      <c r="Q152">
        <v>0</v>
      </c>
      <c r="R152">
        <v>0</v>
      </c>
      <c r="S152">
        <v>0.016</v>
      </c>
      <c r="T152" t="s">
        <v>25</v>
      </c>
    </row>
    <row r="153" spans="1:20" ht="15">
      <c r="A153" t="s">
        <v>19</v>
      </c>
      <c r="B153" t="s">
        <v>20</v>
      </c>
      <c r="C153" t="str">
        <f t="shared" si="2"/>
        <v>31-Dec-21</v>
      </c>
      <c r="D153" t="s">
        <v>21</v>
      </c>
      <c r="E153" t="s">
        <v>22</v>
      </c>
      <c r="F153" t="str">
        <f>"BD5CJ26"</f>
        <v>BD5CJ26</v>
      </c>
      <c r="G153" t="s">
        <v>180</v>
      </c>
      <c r="I153" t="s">
        <v>156</v>
      </c>
      <c r="J153">
        <v>0.137973404</v>
      </c>
      <c r="K153">
        <v>6800</v>
      </c>
      <c r="L153">
        <v>187992.21</v>
      </c>
      <c r="M153">
        <v>24111.78</v>
      </c>
      <c r="N153">
        <v>35.83</v>
      </c>
      <c r="O153">
        <v>243644</v>
      </c>
      <c r="P153">
        <v>33616.39</v>
      </c>
      <c r="Q153">
        <v>0</v>
      </c>
      <c r="R153">
        <v>0</v>
      </c>
      <c r="S153">
        <v>0.017</v>
      </c>
      <c r="T153" t="s">
        <v>25</v>
      </c>
    </row>
    <row r="154" spans="1:20" ht="15">
      <c r="A154" t="s">
        <v>19</v>
      </c>
      <c r="B154" t="s">
        <v>20</v>
      </c>
      <c r="C154" t="str">
        <f t="shared" si="2"/>
        <v>31-Dec-21</v>
      </c>
      <c r="D154" t="s">
        <v>21</v>
      </c>
      <c r="E154" t="s">
        <v>22</v>
      </c>
      <c r="F154" t="str">
        <f>"BD5CNZ7"</f>
        <v>BD5CNZ7</v>
      </c>
      <c r="G154" t="s">
        <v>181</v>
      </c>
      <c r="I154" t="s">
        <v>156</v>
      </c>
      <c r="J154">
        <v>0.137973404</v>
      </c>
      <c r="K154">
        <v>22300</v>
      </c>
      <c r="L154">
        <v>190328.09</v>
      </c>
      <c r="M154">
        <v>24042.4</v>
      </c>
      <c r="N154">
        <v>7.19</v>
      </c>
      <c r="O154">
        <v>160337</v>
      </c>
      <c r="P154">
        <v>22122.24</v>
      </c>
      <c r="Q154">
        <v>0</v>
      </c>
      <c r="R154">
        <v>0</v>
      </c>
      <c r="S154">
        <v>0.011</v>
      </c>
      <c r="T154" t="s">
        <v>25</v>
      </c>
    </row>
    <row r="155" spans="1:20" ht="15">
      <c r="A155" t="s">
        <v>19</v>
      </c>
      <c r="B155" t="s">
        <v>20</v>
      </c>
      <c r="C155" t="str">
        <f t="shared" si="2"/>
        <v>31-Dec-21</v>
      </c>
      <c r="D155" t="s">
        <v>21</v>
      </c>
      <c r="E155" t="s">
        <v>22</v>
      </c>
      <c r="F155" t="str">
        <f>"BD5CJD7"</f>
        <v>BD5CJD7</v>
      </c>
      <c r="G155" t="s">
        <v>182</v>
      </c>
      <c r="I155" t="s">
        <v>156</v>
      </c>
      <c r="J155">
        <v>0.137973404</v>
      </c>
      <c r="K155">
        <v>13300</v>
      </c>
      <c r="L155">
        <v>169129.92</v>
      </c>
      <c r="M155">
        <v>21318.16</v>
      </c>
      <c r="N155">
        <v>10.81</v>
      </c>
      <c r="O155">
        <v>143773</v>
      </c>
      <c r="P155">
        <v>19836.85</v>
      </c>
      <c r="Q155">
        <v>0</v>
      </c>
      <c r="R155">
        <v>0</v>
      </c>
      <c r="S155">
        <v>0.01</v>
      </c>
      <c r="T155" t="s">
        <v>25</v>
      </c>
    </row>
    <row r="156" spans="1:20" ht="15">
      <c r="A156" t="s">
        <v>19</v>
      </c>
      <c r="B156" t="s">
        <v>20</v>
      </c>
      <c r="C156" t="str">
        <f t="shared" si="2"/>
        <v>31-Dec-21</v>
      </c>
      <c r="D156" t="s">
        <v>21</v>
      </c>
      <c r="E156" t="s">
        <v>22</v>
      </c>
      <c r="F156" t="str">
        <f>"BD5CMX8"</f>
        <v>BD5CMX8</v>
      </c>
      <c r="G156" t="s">
        <v>183</v>
      </c>
      <c r="I156" t="s">
        <v>156</v>
      </c>
      <c r="J156">
        <v>0.137973404</v>
      </c>
      <c r="K156">
        <v>3220</v>
      </c>
      <c r="L156">
        <v>89905.59</v>
      </c>
      <c r="M156">
        <v>11639.37</v>
      </c>
      <c r="N156">
        <v>28.74</v>
      </c>
      <c r="O156">
        <v>92542.8</v>
      </c>
      <c r="P156">
        <v>12768.45</v>
      </c>
      <c r="Q156">
        <v>0</v>
      </c>
      <c r="R156">
        <v>0</v>
      </c>
      <c r="S156">
        <v>0.006</v>
      </c>
      <c r="T156" t="s">
        <v>25</v>
      </c>
    </row>
    <row r="157" spans="1:20" ht="15">
      <c r="A157" t="s">
        <v>19</v>
      </c>
      <c r="B157" t="s">
        <v>20</v>
      </c>
      <c r="C157" t="str">
        <f t="shared" si="2"/>
        <v>31-Dec-21</v>
      </c>
      <c r="D157" t="s">
        <v>21</v>
      </c>
      <c r="E157" t="s">
        <v>22</v>
      </c>
      <c r="F157" t="str">
        <f>"BD5C9L5"</f>
        <v>BD5C9L5</v>
      </c>
      <c r="G157" t="s">
        <v>184</v>
      </c>
      <c r="I157" t="s">
        <v>156</v>
      </c>
      <c r="J157">
        <v>0.137973404</v>
      </c>
      <c r="K157">
        <v>2800</v>
      </c>
      <c r="L157">
        <v>160592.96</v>
      </c>
      <c r="M157">
        <v>20603.19</v>
      </c>
      <c r="N157">
        <v>38.18</v>
      </c>
      <c r="O157">
        <v>106904</v>
      </c>
      <c r="P157">
        <v>14749.91</v>
      </c>
      <c r="Q157">
        <v>0</v>
      </c>
      <c r="R157">
        <v>0</v>
      </c>
      <c r="S157">
        <v>0.007</v>
      </c>
      <c r="T157" t="s">
        <v>25</v>
      </c>
    </row>
    <row r="158" spans="1:20" ht="15">
      <c r="A158" t="s">
        <v>19</v>
      </c>
      <c r="B158" t="s">
        <v>20</v>
      </c>
      <c r="C158" t="str">
        <f t="shared" si="2"/>
        <v>31-Dec-21</v>
      </c>
      <c r="D158" t="s">
        <v>21</v>
      </c>
      <c r="E158" t="s">
        <v>22</v>
      </c>
      <c r="F158" t="str">
        <f>"BD5CJ48"</f>
        <v>BD5CJ48</v>
      </c>
      <c r="G158" t="s">
        <v>185</v>
      </c>
      <c r="I158" t="s">
        <v>156</v>
      </c>
      <c r="J158">
        <v>0.137973404</v>
      </c>
      <c r="K158">
        <v>9600</v>
      </c>
      <c r="L158">
        <v>255303.15</v>
      </c>
      <c r="M158">
        <v>31116.33</v>
      </c>
      <c r="N158">
        <v>14.84</v>
      </c>
      <c r="O158">
        <v>142464</v>
      </c>
      <c r="P158">
        <v>19656.24</v>
      </c>
      <c r="Q158">
        <v>0</v>
      </c>
      <c r="R158">
        <v>0</v>
      </c>
      <c r="S158">
        <v>0.01</v>
      </c>
      <c r="T158" t="s">
        <v>25</v>
      </c>
    </row>
    <row r="159" spans="1:20" ht="15">
      <c r="A159" t="s">
        <v>19</v>
      </c>
      <c r="B159" t="s">
        <v>20</v>
      </c>
      <c r="C159" t="str">
        <f t="shared" si="2"/>
        <v>31-Dec-21</v>
      </c>
      <c r="D159" t="s">
        <v>21</v>
      </c>
      <c r="E159" t="s">
        <v>22</v>
      </c>
      <c r="F159" t="str">
        <f>"BP3R9J4"</f>
        <v>BP3R9J4</v>
      </c>
      <c r="G159" t="s">
        <v>186</v>
      </c>
      <c r="I159" t="s">
        <v>156</v>
      </c>
      <c r="J159">
        <v>0.137973404</v>
      </c>
      <c r="K159">
        <v>5880</v>
      </c>
      <c r="L159">
        <v>178441.82</v>
      </c>
      <c r="M159">
        <v>22927.41</v>
      </c>
      <c r="N159">
        <v>28.96</v>
      </c>
      <c r="O159">
        <v>170284.8</v>
      </c>
      <c r="P159">
        <v>23494.77</v>
      </c>
      <c r="Q159">
        <v>0</v>
      </c>
      <c r="R159">
        <v>0</v>
      </c>
      <c r="S159">
        <v>0.012</v>
      </c>
      <c r="T159" t="s">
        <v>25</v>
      </c>
    </row>
    <row r="160" spans="1:20" ht="15">
      <c r="A160" t="s">
        <v>19</v>
      </c>
      <c r="B160" t="s">
        <v>20</v>
      </c>
      <c r="C160" t="str">
        <f t="shared" si="2"/>
        <v>31-Dec-21</v>
      </c>
      <c r="D160" t="s">
        <v>21</v>
      </c>
      <c r="E160" t="s">
        <v>22</v>
      </c>
      <c r="F160" t="str">
        <f>"BMXTWX4"</f>
        <v>BMXTWX4</v>
      </c>
      <c r="G160" t="s">
        <v>187</v>
      </c>
      <c r="I160" t="s">
        <v>156</v>
      </c>
      <c r="J160">
        <v>0.137973404</v>
      </c>
      <c r="K160">
        <v>700</v>
      </c>
      <c r="L160">
        <v>118271.95</v>
      </c>
      <c r="M160">
        <v>15225.59</v>
      </c>
      <c r="N160">
        <v>221.5</v>
      </c>
      <c r="O160">
        <v>155050</v>
      </c>
      <c r="P160">
        <v>21392.78</v>
      </c>
      <c r="Q160">
        <v>0</v>
      </c>
      <c r="R160">
        <v>0</v>
      </c>
      <c r="S160">
        <v>0.011</v>
      </c>
      <c r="T160" t="s">
        <v>25</v>
      </c>
    </row>
    <row r="161" spans="1:20" ht="15">
      <c r="A161" t="s">
        <v>19</v>
      </c>
      <c r="B161" t="s">
        <v>20</v>
      </c>
      <c r="C161" t="str">
        <f t="shared" si="2"/>
        <v>31-Dec-21</v>
      </c>
      <c r="D161" t="s">
        <v>21</v>
      </c>
      <c r="E161" t="s">
        <v>22</v>
      </c>
      <c r="F161" t="str">
        <f>"BD5CKK1"</f>
        <v>BD5CKK1</v>
      </c>
      <c r="G161" t="s">
        <v>188</v>
      </c>
      <c r="I161" t="s">
        <v>156</v>
      </c>
      <c r="J161">
        <v>0.137973404</v>
      </c>
      <c r="K161">
        <v>12600</v>
      </c>
      <c r="L161">
        <v>107543.42</v>
      </c>
      <c r="M161">
        <v>13708.11</v>
      </c>
      <c r="N161">
        <v>8.47</v>
      </c>
      <c r="O161">
        <v>106722</v>
      </c>
      <c r="P161">
        <v>14724.8</v>
      </c>
      <c r="Q161">
        <v>0</v>
      </c>
      <c r="R161">
        <v>0</v>
      </c>
      <c r="S161">
        <v>0.007</v>
      </c>
      <c r="T161" t="s">
        <v>25</v>
      </c>
    </row>
    <row r="162" spans="1:20" ht="15">
      <c r="A162" t="s">
        <v>19</v>
      </c>
      <c r="B162" t="s">
        <v>20</v>
      </c>
      <c r="C162" t="str">
        <f t="shared" si="2"/>
        <v>31-Dec-21</v>
      </c>
      <c r="D162" t="s">
        <v>21</v>
      </c>
      <c r="E162" t="s">
        <v>22</v>
      </c>
      <c r="F162" t="str">
        <f>"BL58M76"</f>
        <v>BL58M76</v>
      </c>
      <c r="G162" t="s">
        <v>189</v>
      </c>
      <c r="I162" t="s">
        <v>156</v>
      </c>
      <c r="J162">
        <v>0.137973404</v>
      </c>
      <c r="K162">
        <v>32700</v>
      </c>
      <c r="L162">
        <v>202431.29</v>
      </c>
      <c r="M162">
        <v>25253.97</v>
      </c>
      <c r="N162">
        <v>4.83</v>
      </c>
      <c r="O162">
        <v>157941</v>
      </c>
      <c r="P162">
        <v>21791.66</v>
      </c>
      <c r="Q162">
        <v>0</v>
      </c>
      <c r="R162">
        <v>0</v>
      </c>
      <c r="S162">
        <v>0.011</v>
      </c>
      <c r="T162" t="s">
        <v>25</v>
      </c>
    </row>
    <row r="163" spans="1:20" ht="15">
      <c r="A163" t="s">
        <v>19</v>
      </c>
      <c r="B163" t="s">
        <v>20</v>
      </c>
      <c r="C163" t="str">
        <f t="shared" si="2"/>
        <v>31-Dec-21</v>
      </c>
      <c r="D163" t="s">
        <v>21</v>
      </c>
      <c r="E163" t="s">
        <v>22</v>
      </c>
      <c r="F163" t="str">
        <f>"BP3R2W8"</f>
        <v>BP3R2W8</v>
      </c>
      <c r="G163" t="s">
        <v>190</v>
      </c>
      <c r="I163" t="s">
        <v>156</v>
      </c>
      <c r="J163">
        <v>0.137973404</v>
      </c>
      <c r="K163">
        <v>33500</v>
      </c>
      <c r="L163">
        <v>177318.71</v>
      </c>
      <c r="M163">
        <v>22638.16</v>
      </c>
      <c r="N163">
        <v>4.44</v>
      </c>
      <c r="O163">
        <v>148740</v>
      </c>
      <c r="P163">
        <v>20522.16</v>
      </c>
      <c r="Q163">
        <v>0</v>
      </c>
      <c r="R163">
        <v>0</v>
      </c>
      <c r="S163">
        <v>0.01</v>
      </c>
      <c r="T163" t="s">
        <v>25</v>
      </c>
    </row>
    <row r="164" spans="1:20" ht="15">
      <c r="A164" t="s">
        <v>19</v>
      </c>
      <c r="B164" t="s">
        <v>20</v>
      </c>
      <c r="C164" t="str">
        <f t="shared" si="2"/>
        <v>31-Dec-21</v>
      </c>
      <c r="D164" t="s">
        <v>21</v>
      </c>
      <c r="E164" t="s">
        <v>22</v>
      </c>
      <c r="F164" t="str">
        <f>"BK94875"</f>
        <v>BK94875</v>
      </c>
      <c r="G164" t="s">
        <v>191</v>
      </c>
      <c r="I164" t="s">
        <v>156</v>
      </c>
      <c r="J164">
        <v>0.137973404</v>
      </c>
      <c r="K164">
        <v>2900</v>
      </c>
      <c r="L164">
        <v>22976.47</v>
      </c>
      <c r="M164">
        <v>2902.41</v>
      </c>
      <c r="N164">
        <v>7.81</v>
      </c>
      <c r="O164">
        <v>22649</v>
      </c>
      <c r="P164">
        <v>3124.96</v>
      </c>
      <c r="Q164">
        <v>0</v>
      </c>
      <c r="R164">
        <v>0</v>
      </c>
      <c r="S164">
        <v>0.002</v>
      </c>
      <c r="T164" t="s">
        <v>25</v>
      </c>
    </row>
    <row r="165" spans="1:20" ht="15">
      <c r="A165" t="s">
        <v>19</v>
      </c>
      <c r="B165" t="s">
        <v>20</v>
      </c>
      <c r="C165" t="str">
        <f t="shared" si="2"/>
        <v>31-Dec-21</v>
      </c>
      <c r="D165" t="s">
        <v>21</v>
      </c>
      <c r="E165" t="s">
        <v>22</v>
      </c>
      <c r="F165" t="str">
        <f>"BP3R239"</f>
        <v>BP3R239</v>
      </c>
      <c r="G165" t="s">
        <v>192</v>
      </c>
      <c r="I165" t="s">
        <v>156</v>
      </c>
      <c r="J165">
        <v>0.137973404</v>
      </c>
      <c r="K165">
        <v>168300</v>
      </c>
      <c r="L165">
        <v>618809.72</v>
      </c>
      <c r="M165">
        <v>78934.97</v>
      </c>
      <c r="N165">
        <v>3.05</v>
      </c>
      <c r="O165">
        <v>513315</v>
      </c>
      <c r="P165">
        <v>70823.82</v>
      </c>
      <c r="Q165">
        <v>0</v>
      </c>
      <c r="R165">
        <v>0</v>
      </c>
      <c r="S165">
        <v>0.035</v>
      </c>
      <c r="T165" t="s">
        <v>25</v>
      </c>
    </row>
    <row r="166" spans="1:20" ht="15">
      <c r="A166" t="s">
        <v>19</v>
      </c>
      <c r="B166" t="s">
        <v>20</v>
      </c>
      <c r="C166" t="str">
        <f t="shared" si="2"/>
        <v>31-Dec-21</v>
      </c>
      <c r="D166" t="s">
        <v>21</v>
      </c>
      <c r="E166" t="s">
        <v>22</v>
      </c>
      <c r="F166" t="str">
        <f>"BP3R2G2"</f>
        <v>BP3R2G2</v>
      </c>
      <c r="G166" t="s">
        <v>193</v>
      </c>
      <c r="I166" t="s">
        <v>156</v>
      </c>
      <c r="J166">
        <v>0.137973404</v>
      </c>
      <c r="K166">
        <v>86300</v>
      </c>
      <c r="L166">
        <v>495587.06</v>
      </c>
      <c r="M166">
        <v>63509.41</v>
      </c>
      <c r="N166">
        <v>4.61</v>
      </c>
      <c r="O166">
        <v>397843</v>
      </c>
      <c r="P166">
        <v>54891.75</v>
      </c>
      <c r="Q166">
        <v>0</v>
      </c>
      <c r="R166">
        <v>0</v>
      </c>
      <c r="S166">
        <v>0.027</v>
      </c>
      <c r="T166" t="s">
        <v>25</v>
      </c>
    </row>
    <row r="167" spans="1:20" ht="15">
      <c r="A167" t="s">
        <v>19</v>
      </c>
      <c r="B167" t="s">
        <v>20</v>
      </c>
      <c r="C167" t="str">
        <f t="shared" si="2"/>
        <v>31-Dec-21</v>
      </c>
      <c r="D167" t="s">
        <v>21</v>
      </c>
      <c r="E167" t="s">
        <v>22</v>
      </c>
      <c r="F167" t="str">
        <f>"BYW5MZ9"</f>
        <v>BYW5MZ9</v>
      </c>
      <c r="G167" t="s">
        <v>194</v>
      </c>
      <c r="I167" t="s">
        <v>156</v>
      </c>
      <c r="J167">
        <v>0.137973404</v>
      </c>
      <c r="K167">
        <v>21200</v>
      </c>
      <c r="L167">
        <v>193011.98</v>
      </c>
      <c r="M167">
        <v>24381.43</v>
      </c>
      <c r="N167">
        <v>12.82</v>
      </c>
      <c r="O167">
        <v>271784</v>
      </c>
      <c r="P167">
        <v>37498.96</v>
      </c>
      <c r="Q167">
        <v>0</v>
      </c>
      <c r="R167">
        <v>0</v>
      </c>
      <c r="S167">
        <v>0.019</v>
      </c>
      <c r="T167" t="s">
        <v>25</v>
      </c>
    </row>
    <row r="168" spans="1:20" ht="15">
      <c r="A168" t="s">
        <v>19</v>
      </c>
      <c r="B168" t="s">
        <v>20</v>
      </c>
      <c r="C168" t="str">
        <f t="shared" si="2"/>
        <v>31-Dec-21</v>
      </c>
      <c r="D168" t="s">
        <v>21</v>
      </c>
      <c r="E168" t="s">
        <v>22</v>
      </c>
      <c r="F168" t="str">
        <f>"BYW5MY8"</f>
        <v>BYW5MY8</v>
      </c>
      <c r="G168" t="s">
        <v>195</v>
      </c>
      <c r="I168" t="s">
        <v>156</v>
      </c>
      <c r="J168">
        <v>0.137973404</v>
      </c>
      <c r="K168">
        <v>24050</v>
      </c>
      <c r="L168">
        <v>136542.07</v>
      </c>
      <c r="M168">
        <v>17371.12</v>
      </c>
      <c r="N168">
        <v>5.83</v>
      </c>
      <c r="O168">
        <v>140211.5</v>
      </c>
      <c r="P168">
        <v>19345.46</v>
      </c>
      <c r="Q168">
        <v>0</v>
      </c>
      <c r="R168">
        <v>0</v>
      </c>
      <c r="S168">
        <v>0.01</v>
      </c>
      <c r="T168" t="s">
        <v>25</v>
      </c>
    </row>
    <row r="169" spans="1:20" ht="15">
      <c r="A169" t="s">
        <v>19</v>
      </c>
      <c r="B169" t="s">
        <v>20</v>
      </c>
      <c r="C169" t="str">
        <f t="shared" si="2"/>
        <v>31-Dec-21</v>
      </c>
      <c r="D169" t="s">
        <v>21</v>
      </c>
      <c r="E169" t="s">
        <v>22</v>
      </c>
      <c r="F169" t="str">
        <f>"BP3R529"</f>
        <v>BP3R529</v>
      </c>
      <c r="G169" t="s">
        <v>196</v>
      </c>
      <c r="I169" t="s">
        <v>156</v>
      </c>
      <c r="J169">
        <v>0.137973404</v>
      </c>
      <c r="K169">
        <v>30600</v>
      </c>
      <c r="L169">
        <v>253363.21</v>
      </c>
      <c r="M169">
        <v>32452.24</v>
      </c>
      <c r="N169">
        <v>8.96</v>
      </c>
      <c r="O169">
        <v>274176</v>
      </c>
      <c r="P169">
        <v>37829</v>
      </c>
      <c r="Q169">
        <v>0</v>
      </c>
      <c r="R169">
        <v>0</v>
      </c>
      <c r="S169">
        <v>0.019</v>
      </c>
      <c r="T169" t="s">
        <v>25</v>
      </c>
    </row>
    <row r="170" spans="1:20" ht="15">
      <c r="A170" t="s">
        <v>19</v>
      </c>
      <c r="B170" t="s">
        <v>20</v>
      </c>
      <c r="C170" t="str">
        <f t="shared" si="2"/>
        <v>31-Dec-21</v>
      </c>
      <c r="D170" t="s">
        <v>21</v>
      </c>
      <c r="E170" t="s">
        <v>22</v>
      </c>
      <c r="F170" t="str">
        <f>"BD5CP06"</f>
        <v>BD5CP06</v>
      </c>
      <c r="G170" t="s">
        <v>197</v>
      </c>
      <c r="I170" t="s">
        <v>156</v>
      </c>
      <c r="J170">
        <v>0.137973404</v>
      </c>
      <c r="K170">
        <v>15730</v>
      </c>
      <c r="L170">
        <v>397096.55</v>
      </c>
      <c r="M170">
        <v>51119.7</v>
      </c>
      <c r="N170">
        <v>38.28</v>
      </c>
      <c r="O170">
        <v>602144.4</v>
      </c>
      <c r="P170">
        <v>83079.91</v>
      </c>
      <c r="Q170">
        <v>0</v>
      </c>
      <c r="R170">
        <v>0</v>
      </c>
      <c r="S170">
        <v>0.041</v>
      </c>
      <c r="T170" t="s">
        <v>25</v>
      </c>
    </row>
    <row r="171" spans="1:20" ht="15">
      <c r="A171" t="s">
        <v>19</v>
      </c>
      <c r="B171" t="s">
        <v>20</v>
      </c>
      <c r="C171" t="str">
        <f t="shared" si="2"/>
        <v>31-Dec-21</v>
      </c>
      <c r="D171" t="s">
        <v>21</v>
      </c>
      <c r="E171" t="s">
        <v>22</v>
      </c>
      <c r="F171" t="str">
        <f>"BD8P9J9"</f>
        <v>BD8P9J9</v>
      </c>
      <c r="G171" t="s">
        <v>198</v>
      </c>
      <c r="I171" t="s">
        <v>156</v>
      </c>
      <c r="J171">
        <v>0.137973404</v>
      </c>
      <c r="K171">
        <v>25600</v>
      </c>
      <c r="L171">
        <v>228309.12</v>
      </c>
      <c r="M171">
        <v>29096.29</v>
      </c>
      <c r="N171">
        <v>7.13</v>
      </c>
      <c r="O171">
        <v>182528</v>
      </c>
      <c r="P171">
        <v>25184.01</v>
      </c>
      <c r="Q171">
        <v>0</v>
      </c>
      <c r="R171">
        <v>0</v>
      </c>
      <c r="S171">
        <v>0.012</v>
      </c>
      <c r="T171" t="s">
        <v>25</v>
      </c>
    </row>
    <row r="172" spans="1:20" ht="15">
      <c r="A172" t="s">
        <v>19</v>
      </c>
      <c r="B172" t="s">
        <v>20</v>
      </c>
      <c r="C172" t="str">
        <f t="shared" si="2"/>
        <v>31-Dec-21</v>
      </c>
      <c r="D172" t="s">
        <v>21</v>
      </c>
      <c r="E172" t="s">
        <v>22</v>
      </c>
      <c r="F172" t="str">
        <f>"BGRDXR1"</f>
        <v>BGRDXR1</v>
      </c>
      <c r="G172" t="s">
        <v>199</v>
      </c>
      <c r="I172" t="s">
        <v>156</v>
      </c>
      <c r="J172">
        <v>0.137973404</v>
      </c>
      <c r="K172">
        <v>28270</v>
      </c>
      <c r="L172">
        <v>98233.76</v>
      </c>
      <c r="M172">
        <v>12646</v>
      </c>
      <c r="N172">
        <v>3.16</v>
      </c>
      <c r="O172">
        <v>89333.2</v>
      </c>
      <c r="P172">
        <v>12325.61</v>
      </c>
      <c r="Q172">
        <v>0</v>
      </c>
      <c r="R172">
        <v>0</v>
      </c>
      <c r="S172">
        <v>0.006</v>
      </c>
      <c r="T172" t="s">
        <v>25</v>
      </c>
    </row>
    <row r="173" spans="1:20" ht="15">
      <c r="A173" t="s">
        <v>19</v>
      </c>
      <c r="B173" t="s">
        <v>20</v>
      </c>
      <c r="C173" t="str">
        <f t="shared" si="2"/>
        <v>31-Dec-21</v>
      </c>
      <c r="D173" t="s">
        <v>21</v>
      </c>
      <c r="E173" t="s">
        <v>22</v>
      </c>
      <c r="F173" t="str">
        <f>"BD5CKV2"</f>
        <v>BD5CKV2</v>
      </c>
      <c r="G173" t="s">
        <v>200</v>
      </c>
      <c r="I173" t="s">
        <v>156</v>
      </c>
      <c r="J173">
        <v>0.137973404</v>
      </c>
      <c r="K173">
        <v>7200</v>
      </c>
      <c r="L173">
        <v>190339.78</v>
      </c>
      <c r="M173">
        <v>24261.81</v>
      </c>
      <c r="N173">
        <v>26.96</v>
      </c>
      <c r="O173">
        <v>194112</v>
      </c>
      <c r="P173">
        <v>26782.29</v>
      </c>
      <c r="Q173">
        <v>0</v>
      </c>
      <c r="R173">
        <v>0</v>
      </c>
      <c r="S173">
        <v>0.013</v>
      </c>
      <c r="T173" t="s">
        <v>25</v>
      </c>
    </row>
    <row r="174" spans="1:20" ht="15">
      <c r="A174" t="s">
        <v>19</v>
      </c>
      <c r="B174" t="s">
        <v>20</v>
      </c>
      <c r="C174" t="str">
        <f t="shared" si="2"/>
        <v>31-Dec-21</v>
      </c>
      <c r="D174" t="s">
        <v>21</v>
      </c>
      <c r="E174" t="s">
        <v>22</v>
      </c>
      <c r="F174" t="str">
        <f>"BFY8GH3"</f>
        <v>BFY8GH3</v>
      </c>
      <c r="G174" t="s">
        <v>201</v>
      </c>
      <c r="I174" t="s">
        <v>156</v>
      </c>
      <c r="J174">
        <v>0.137973404</v>
      </c>
      <c r="K174">
        <v>5800</v>
      </c>
      <c r="L174">
        <v>116767.03</v>
      </c>
      <c r="M174">
        <v>14883.8</v>
      </c>
      <c r="N174">
        <v>16.71</v>
      </c>
      <c r="O174">
        <v>96918</v>
      </c>
      <c r="P174">
        <v>13372.11</v>
      </c>
      <c r="Q174">
        <v>0</v>
      </c>
      <c r="R174">
        <v>0</v>
      </c>
      <c r="S174">
        <v>0.007</v>
      </c>
      <c r="T174" t="s">
        <v>25</v>
      </c>
    </row>
    <row r="175" spans="1:20" ht="15">
      <c r="A175" t="s">
        <v>19</v>
      </c>
      <c r="B175" t="s">
        <v>20</v>
      </c>
      <c r="C175" t="str">
        <f t="shared" si="2"/>
        <v>31-Dec-21</v>
      </c>
      <c r="D175" t="s">
        <v>21</v>
      </c>
      <c r="E175" t="s">
        <v>22</v>
      </c>
      <c r="F175" t="str">
        <f>"BD5LQM2"</f>
        <v>BD5LQM2</v>
      </c>
      <c r="G175" t="s">
        <v>202</v>
      </c>
      <c r="I175" t="s">
        <v>156</v>
      </c>
      <c r="J175">
        <v>0.137973404</v>
      </c>
      <c r="K175">
        <v>11300</v>
      </c>
      <c r="L175">
        <v>82766.35</v>
      </c>
      <c r="M175">
        <v>10526.57</v>
      </c>
      <c r="N175">
        <v>11.2</v>
      </c>
      <c r="O175">
        <v>126560</v>
      </c>
      <c r="P175">
        <v>17461.91</v>
      </c>
      <c r="Q175">
        <v>0</v>
      </c>
      <c r="R175">
        <v>0</v>
      </c>
      <c r="S175">
        <v>0.009</v>
      </c>
      <c r="T175" t="s">
        <v>25</v>
      </c>
    </row>
    <row r="176" spans="1:20" ht="15">
      <c r="A176" t="s">
        <v>19</v>
      </c>
      <c r="B176" t="s">
        <v>20</v>
      </c>
      <c r="C176" t="str">
        <f t="shared" si="2"/>
        <v>31-Dec-21</v>
      </c>
      <c r="D176" t="s">
        <v>21</v>
      </c>
      <c r="E176" t="s">
        <v>22</v>
      </c>
      <c r="F176" t="str">
        <f>"BP3R2J5"</f>
        <v>BP3R2J5</v>
      </c>
      <c r="G176" t="s">
        <v>203</v>
      </c>
      <c r="I176" t="s">
        <v>156</v>
      </c>
      <c r="J176">
        <v>0.137973404</v>
      </c>
      <c r="K176">
        <v>24400</v>
      </c>
      <c r="L176">
        <v>569079.65</v>
      </c>
      <c r="M176">
        <v>72730.71</v>
      </c>
      <c r="N176">
        <v>26.41</v>
      </c>
      <c r="O176">
        <v>644404</v>
      </c>
      <c r="P176">
        <v>88910.61</v>
      </c>
      <c r="Q176">
        <v>0</v>
      </c>
      <c r="R176">
        <v>0</v>
      </c>
      <c r="S176">
        <v>0.044</v>
      </c>
      <c r="T176" t="s">
        <v>25</v>
      </c>
    </row>
    <row r="177" spans="1:20" ht="15">
      <c r="A177" t="s">
        <v>19</v>
      </c>
      <c r="B177" t="s">
        <v>20</v>
      </c>
      <c r="C177" t="str">
        <f t="shared" si="2"/>
        <v>31-Dec-21</v>
      </c>
      <c r="D177" t="s">
        <v>21</v>
      </c>
      <c r="E177" t="s">
        <v>22</v>
      </c>
      <c r="F177" t="str">
        <f>"BP3R9Y9"</f>
        <v>BP3R9Y9</v>
      </c>
      <c r="G177" t="s">
        <v>204</v>
      </c>
      <c r="I177" t="s">
        <v>156</v>
      </c>
      <c r="J177">
        <v>0.137973404</v>
      </c>
      <c r="K177">
        <v>15500</v>
      </c>
      <c r="L177">
        <v>96778.87</v>
      </c>
      <c r="M177">
        <v>12336</v>
      </c>
      <c r="N177">
        <v>5.92</v>
      </c>
      <c r="O177">
        <v>91760</v>
      </c>
      <c r="P177">
        <v>12660.44</v>
      </c>
      <c r="Q177">
        <v>0</v>
      </c>
      <c r="R177">
        <v>0</v>
      </c>
      <c r="S177">
        <v>0.006</v>
      </c>
      <c r="T177" t="s">
        <v>25</v>
      </c>
    </row>
    <row r="178" spans="1:20" ht="15">
      <c r="A178" t="s">
        <v>19</v>
      </c>
      <c r="B178" t="s">
        <v>20</v>
      </c>
      <c r="C178" t="str">
        <f t="shared" si="2"/>
        <v>31-Dec-21</v>
      </c>
      <c r="D178" t="s">
        <v>21</v>
      </c>
      <c r="E178" t="s">
        <v>22</v>
      </c>
      <c r="F178" t="str">
        <f>"BP3R552"</f>
        <v>BP3R552</v>
      </c>
      <c r="G178" t="s">
        <v>205</v>
      </c>
      <c r="I178" t="s">
        <v>156</v>
      </c>
      <c r="J178">
        <v>0.137973404</v>
      </c>
      <c r="K178">
        <v>24210</v>
      </c>
      <c r="L178">
        <v>169773.54</v>
      </c>
      <c r="M178">
        <v>21781.42</v>
      </c>
      <c r="N178">
        <v>18.69</v>
      </c>
      <c r="O178">
        <v>452484.9</v>
      </c>
      <c r="P178">
        <v>62430.88</v>
      </c>
      <c r="Q178">
        <v>0</v>
      </c>
      <c r="R178">
        <v>0</v>
      </c>
      <c r="S178">
        <v>0.031</v>
      </c>
      <c r="T178" t="s">
        <v>25</v>
      </c>
    </row>
    <row r="179" spans="1:20" ht="15">
      <c r="A179" t="s">
        <v>19</v>
      </c>
      <c r="B179" t="s">
        <v>20</v>
      </c>
      <c r="C179" t="str">
        <f t="shared" si="2"/>
        <v>31-Dec-21</v>
      </c>
      <c r="D179" t="s">
        <v>21</v>
      </c>
      <c r="E179" t="s">
        <v>22</v>
      </c>
      <c r="F179" t="str">
        <f>"BP3R358"</f>
        <v>BP3R358</v>
      </c>
      <c r="G179" t="s">
        <v>206</v>
      </c>
      <c r="I179" t="s">
        <v>156</v>
      </c>
      <c r="J179">
        <v>0.137973404</v>
      </c>
      <c r="K179">
        <v>53700</v>
      </c>
      <c r="L179">
        <v>321321.47</v>
      </c>
      <c r="M179">
        <v>44369.23</v>
      </c>
      <c r="N179">
        <v>6.09</v>
      </c>
      <c r="O179">
        <v>327033</v>
      </c>
      <c r="P179">
        <v>45121.86</v>
      </c>
      <c r="Q179">
        <v>0</v>
      </c>
      <c r="R179">
        <v>0</v>
      </c>
      <c r="S179">
        <v>0.022</v>
      </c>
      <c r="T179" t="s">
        <v>25</v>
      </c>
    </row>
    <row r="180" spans="1:20" ht="15">
      <c r="A180" t="s">
        <v>19</v>
      </c>
      <c r="B180" t="s">
        <v>20</v>
      </c>
      <c r="C180" t="str">
        <f t="shared" si="2"/>
        <v>31-Dec-21</v>
      </c>
      <c r="D180" t="s">
        <v>21</v>
      </c>
      <c r="E180" t="s">
        <v>22</v>
      </c>
      <c r="F180" t="str">
        <f>"BDZRFN4"</f>
        <v>BDZRFN4</v>
      </c>
      <c r="G180" t="s">
        <v>207</v>
      </c>
      <c r="I180" t="s">
        <v>156</v>
      </c>
      <c r="J180">
        <v>0.137973404</v>
      </c>
      <c r="K180">
        <v>6400</v>
      </c>
      <c r="L180">
        <v>199881.41</v>
      </c>
      <c r="M180">
        <v>26464.38</v>
      </c>
      <c r="N180">
        <v>29.25</v>
      </c>
      <c r="O180">
        <v>187200</v>
      </c>
      <c r="P180">
        <v>25828.62</v>
      </c>
      <c r="Q180">
        <v>0</v>
      </c>
      <c r="R180">
        <v>0</v>
      </c>
      <c r="S180">
        <v>0.013</v>
      </c>
      <c r="T180" t="s">
        <v>25</v>
      </c>
    </row>
    <row r="181" spans="1:20" ht="15">
      <c r="A181" t="s">
        <v>19</v>
      </c>
      <c r="B181" t="s">
        <v>20</v>
      </c>
      <c r="C181" t="str">
        <f t="shared" si="2"/>
        <v>31-Dec-21</v>
      </c>
      <c r="D181" t="s">
        <v>21</v>
      </c>
      <c r="E181" t="s">
        <v>22</v>
      </c>
      <c r="F181" t="str">
        <f>"BD5CDB3"</f>
        <v>BD5CDB3</v>
      </c>
      <c r="G181" t="s">
        <v>208</v>
      </c>
      <c r="I181" t="s">
        <v>156</v>
      </c>
      <c r="J181">
        <v>0.137973404</v>
      </c>
      <c r="K181">
        <v>700</v>
      </c>
      <c r="L181">
        <v>189655.21</v>
      </c>
      <c r="M181">
        <v>24088.34</v>
      </c>
      <c r="N181">
        <v>271.4</v>
      </c>
      <c r="O181">
        <v>189980</v>
      </c>
      <c r="P181">
        <v>26212.19</v>
      </c>
      <c r="Q181">
        <v>0</v>
      </c>
      <c r="R181">
        <v>0</v>
      </c>
      <c r="S181">
        <v>0.013</v>
      </c>
      <c r="T181" t="s">
        <v>25</v>
      </c>
    </row>
    <row r="182" spans="1:20" ht="15">
      <c r="A182" t="s">
        <v>19</v>
      </c>
      <c r="B182" t="s">
        <v>20</v>
      </c>
      <c r="C182" t="str">
        <f t="shared" si="2"/>
        <v>31-Dec-21</v>
      </c>
      <c r="D182" t="s">
        <v>21</v>
      </c>
      <c r="E182" t="s">
        <v>22</v>
      </c>
      <c r="F182" t="str">
        <f>"BD5CP40"</f>
        <v>BD5CP40</v>
      </c>
      <c r="G182" t="s">
        <v>209</v>
      </c>
      <c r="I182" t="s">
        <v>156</v>
      </c>
      <c r="J182">
        <v>0.137973404</v>
      </c>
      <c r="K182">
        <v>20800</v>
      </c>
      <c r="L182">
        <v>151073.81</v>
      </c>
      <c r="M182">
        <v>19384.79</v>
      </c>
      <c r="N182">
        <v>7.54</v>
      </c>
      <c r="O182">
        <v>156832</v>
      </c>
      <c r="P182">
        <v>21638.64</v>
      </c>
      <c r="Q182">
        <v>0</v>
      </c>
      <c r="R182">
        <v>0</v>
      </c>
      <c r="S182">
        <v>0.011</v>
      </c>
      <c r="T182" t="s">
        <v>25</v>
      </c>
    </row>
    <row r="183" spans="1:20" ht="15">
      <c r="A183" t="s">
        <v>19</v>
      </c>
      <c r="B183" t="s">
        <v>20</v>
      </c>
      <c r="C183" t="str">
        <f t="shared" si="2"/>
        <v>31-Dec-21</v>
      </c>
      <c r="D183" t="s">
        <v>21</v>
      </c>
      <c r="E183" t="s">
        <v>22</v>
      </c>
      <c r="F183" t="str">
        <f>"BS7K3D2"</f>
        <v>BS7K3D2</v>
      </c>
      <c r="G183" t="s">
        <v>210</v>
      </c>
      <c r="I183" t="s">
        <v>156</v>
      </c>
      <c r="J183">
        <v>0.137973404</v>
      </c>
      <c r="K183">
        <v>900</v>
      </c>
      <c r="L183">
        <v>107625.01</v>
      </c>
      <c r="M183">
        <v>13595.28</v>
      </c>
      <c r="N183">
        <v>204.25</v>
      </c>
      <c r="O183">
        <v>183825</v>
      </c>
      <c r="P183">
        <v>25362.96</v>
      </c>
      <c r="Q183">
        <v>0</v>
      </c>
      <c r="R183">
        <v>0</v>
      </c>
      <c r="S183">
        <v>0.013</v>
      </c>
      <c r="T183" t="s">
        <v>25</v>
      </c>
    </row>
    <row r="184" spans="1:20" ht="15">
      <c r="A184" t="s">
        <v>19</v>
      </c>
      <c r="B184" t="s">
        <v>20</v>
      </c>
      <c r="C184" t="str">
        <f t="shared" si="2"/>
        <v>31-Dec-21</v>
      </c>
      <c r="D184" t="s">
        <v>21</v>
      </c>
      <c r="E184" t="s">
        <v>22</v>
      </c>
      <c r="F184" t="str">
        <f>"BD5CLT7"</f>
        <v>BD5CLT7</v>
      </c>
      <c r="G184" t="s">
        <v>211</v>
      </c>
      <c r="I184" t="s">
        <v>156</v>
      </c>
      <c r="J184">
        <v>0.137973404</v>
      </c>
      <c r="K184">
        <v>3500</v>
      </c>
      <c r="L184">
        <v>71366.91</v>
      </c>
      <c r="M184">
        <v>9146.51</v>
      </c>
      <c r="N184">
        <v>44.6</v>
      </c>
      <c r="O184">
        <v>156100</v>
      </c>
      <c r="P184">
        <v>21537.65</v>
      </c>
      <c r="Q184">
        <v>0</v>
      </c>
      <c r="R184">
        <v>0</v>
      </c>
      <c r="S184">
        <v>0.011</v>
      </c>
      <c r="T184" t="s">
        <v>25</v>
      </c>
    </row>
    <row r="185" spans="1:20" ht="15">
      <c r="A185" t="s">
        <v>19</v>
      </c>
      <c r="B185" t="s">
        <v>20</v>
      </c>
      <c r="C185" t="str">
        <f t="shared" si="2"/>
        <v>31-Dec-21</v>
      </c>
      <c r="D185" t="s">
        <v>21</v>
      </c>
      <c r="E185" t="s">
        <v>22</v>
      </c>
      <c r="F185" t="str">
        <f>"BD5CKD4"</f>
        <v>BD5CKD4</v>
      </c>
      <c r="G185" t="s">
        <v>212</v>
      </c>
      <c r="I185" t="s">
        <v>156</v>
      </c>
      <c r="J185">
        <v>0.137973404</v>
      </c>
      <c r="K185">
        <v>9700</v>
      </c>
      <c r="L185">
        <v>69882.51</v>
      </c>
      <c r="M185">
        <v>8887.95</v>
      </c>
      <c r="N185">
        <v>14.43</v>
      </c>
      <c r="O185">
        <v>139971</v>
      </c>
      <c r="P185">
        <v>19312.28</v>
      </c>
      <c r="Q185">
        <v>0</v>
      </c>
      <c r="R185">
        <v>0</v>
      </c>
      <c r="S185">
        <v>0.01</v>
      </c>
      <c r="T185" t="s">
        <v>25</v>
      </c>
    </row>
    <row r="186" spans="1:20" ht="15">
      <c r="A186" t="s">
        <v>19</v>
      </c>
      <c r="B186" t="s">
        <v>20</v>
      </c>
      <c r="C186" t="str">
        <f t="shared" si="2"/>
        <v>31-Dec-21</v>
      </c>
      <c r="D186" t="s">
        <v>21</v>
      </c>
      <c r="E186" t="s">
        <v>22</v>
      </c>
      <c r="F186" t="str">
        <f>"BP3R4N3"</f>
        <v>BP3R4N3</v>
      </c>
      <c r="G186" t="s">
        <v>213</v>
      </c>
      <c r="I186" t="s">
        <v>156</v>
      </c>
      <c r="J186">
        <v>0.137973404</v>
      </c>
      <c r="K186">
        <v>6700</v>
      </c>
      <c r="L186">
        <v>119915.85</v>
      </c>
      <c r="M186">
        <v>15147.87</v>
      </c>
      <c r="N186">
        <v>24.79</v>
      </c>
      <c r="O186">
        <v>166093</v>
      </c>
      <c r="P186">
        <v>22916.42</v>
      </c>
      <c r="Q186">
        <v>0</v>
      </c>
      <c r="R186">
        <v>0</v>
      </c>
      <c r="S186">
        <v>0.011</v>
      </c>
      <c r="T186" t="s">
        <v>25</v>
      </c>
    </row>
    <row r="187" spans="1:20" ht="15">
      <c r="A187" t="s">
        <v>19</v>
      </c>
      <c r="B187" t="s">
        <v>20</v>
      </c>
      <c r="C187" t="str">
        <f t="shared" si="2"/>
        <v>31-Dec-21</v>
      </c>
      <c r="D187" t="s">
        <v>21</v>
      </c>
      <c r="E187" t="s">
        <v>22</v>
      </c>
      <c r="F187" t="str">
        <f>"BP3R3P8"</f>
        <v>BP3R3P8</v>
      </c>
      <c r="G187" t="s">
        <v>214</v>
      </c>
      <c r="I187" t="s">
        <v>156</v>
      </c>
      <c r="J187">
        <v>0.137973404</v>
      </c>
      <c r="K187">
        <v>18800</v>
      </c>
      <c r="L187">
        <v>90671.15</v>
      </c>
      <c r="M187">
        <v>11531.93</v>
      </c>
      <c r="N187">
        <v>6.29</v>
      </c>
      <c r="O187">
        <v>118252</v>
      </c>
      <c r="P187">
        <v>16315.63</v>
      </c>
      <c r="Q187">
        <v>0</v>
      </c>
      <c r="R187">
        <v>0</v>
      </c>
      <c r="S187">
        <v>0.008</v>
      </c>
      <c r="T187" t="s">
        <v>25</v>
      </c>
    </row>
    <row r="188" spans="1:20" ht="15">
      <c r="A188" t="s">
        <v>19</v>
      </c>
      <c r="B188" t="s">
        <v>20</v>
      </c>
      <c r="C188" t="str">
        <f t="shared" si="2"/>
        <v>31-Dec-21</v>
      </c>
      <c r="D188" t="s">
        <v>21</v>
      </c>
      <c r="E188" t="s">
        <v>22</v>
      </c>
      <c r="F188" t="str">
        <f>"BP3R3L4"</f>
        <v>BP3R3L4</v>
      </c>
      <c r="G188" t="s">
        <v>215</v>
      </c>
      <c r="I188" t="s">
        <v>156</v>
      </c>
      <c r="J188">
        <v>0.137973404</v>
      </c>
      <c r="K188">
        <v>4000</v>
      </c>
      <c r="L188">
        <v>28348.57</v>
      </c>
      <c r="M188">
        <v>3631.05</v>
      </c>
      <c r="N188">
        <v>5.86</v>
      </c>
      <c r="O188">
        <v>23440</v>
      </c>
      <c r="P188">
        <v>3234.1</v>
      </c>
      <c r="Q188">
        <v>0</v>
      </c>
      <c r="R188">
        <v>0</v>
      </c>
      <c r="S188">
        <v>0.002</v>
      </c>
      <c r="T188" t="s">
        <v>25</v>
      </c>
    </row>
    <row r="189" spans="1:20" ht="15">
      <c r="A189" t="s">
        <v>19</v>
      </c>
      <c r="B189" t="s">
        <v>20</v>
      </c>
      <c r="C189" t="str">
        <f t="shared" si="2"/>
        <v>31-Dec-21</v>
      </c>
      <c r="D189" t="s">
        <v>21</v>
      </c>
      <c r="E189" t="s">
        <v>22</v>
      </c>
      <c r="F189" t="str">
        <f>"BP3R5X0"</f>
        <v>BP3R5X0</v>
      </c>
      <c r="G189" t="s">
        <v>216</v>
      </c>
      <c r="I189" t="s">
        <v>156</v>
      </c>
      <c r="J189">
        <v>0.137973404</v>
      </c>
      <c r="K189">
        <v>27600</v>
      </c>
      <c r="L189">
        <v>143103.92</v>
      </c>
      <c r="M189">
        <v>18388.42</v>
      </c>
      <c r="N189">
        <v>5.16</v>
      </c>
      <c r="O189">
        <v>142416</v>
      </c>
      <c r="P189">
        <v>19649.62</v>
      </c>
      <c r="Q189">
        <v>0</v>
      </c>
      <c r="R189">
        <v>0</v>
      </c>
      <c r="S189">
        <v>0.01</v>
      </c>
      <c r="T189" t="s">
        <v>25</v>
      </c>
    </row>
    <row r="190" spans="1:20" ht="15">
      <c r="A190" t="s">
        <v>19</v>
      </c>
      <c r="B190" t="s">
        <v>20</v>
      </c>
      <c r="C190" t="str">
        <f t="shared" si="2"/>
        <v>31-Dec-21</v>
      </c>
      <c r="D190" t="s">
        <v>21</v>
      </c>
      <c r="E190" t="s">
        <v>22</v>
      </c>
      <c r="F190" t="str">
        <f>"BP3R2P1"</f>
        <v>BP3R2P1</v>
      </c>
      <c r="G190" t="s">
        <v>217</v>
      </c>
      <c r="I190" t="s">
        <v>156</v>
      </c>
      <c r="J190">
        <v>0.137973404</v>
      </c>
      <c r="K190">
        <v>77100</v>
      </c>
      <c r="L190">
        <v>299291.75</v>
      </c>
      <c r="M190">
        <v>38148.65</v>
      </c>
      <c r="N190">
        <v>3.32</v>
      </c>
      <c r="O190">
        <v>255972</v>
      </c>
      <c r="P190">
        <v>35317.33</v>
      </c>
      <c r="Q190">
        <v>0</v>
      </c>
      <c r="R190">
        <v>0</v>
      </c>
      <c r="S190">
        <v>0.018</v>
      </c>
      <c r="T190" t="s">
        <v>25</v>
      </c>
    </row>
    <row r="191" spans="1:20" ht="15">
      <c r="A191" t="s">
        <v>19</v>
      </c>
      <c r="B191" t="s">
        <v>20</v>
      </c>
      <c r="C191" t="str">
        <f t="shared" si="2"/>
        <v>31-Dec-21</v>
      </c>
      <c r="D191" t="s">
        <v>21</v>
      </c>
      <c r="E191" t="s">
        <v>22</v>
      </c>
      <c r="F191" t="str">
        <f>"BYWPH65"</f>
        <v>BYWPH65</v>
      </c>
      <c r="G191" t="s">
        <v>218</v>
      </c>
      <c r="I191" t="s">
        <v>156</v>
      </c>
      <c r="J191">
        <v>0.137973404</v>
      </c>
      <c r="K191">
        <v>18000</v>
      </c>
      <c r="L191">
        <v>235403.21</v>
      </c>
      <c r="M191">
        <v>28522.46</v>
      </c>
      <c r="N191">
        <v>11.19</v>
      </c>
      <c r="O191">
        <v>201420</v>
      </c>
      <c r="P191">
        <v>27790.6</v>
      </c>
      <c r="Q191">
        <v>0</v>
      </c>
      <c r="R191">
        <v>0</v>
      </c>
      <c r="S191">
        <v>0.014</v>
      </c>
      <c r="T191" t="s">
        <v>25</v>
      </c>
    </row>
    <row r="192" spans="1:20" ht="15">
      <c r="A192" t="s">
        <v>19</v>
      </c>
      <c r="B192" t="s">
        <v>20</v>
      </c>
      <c r="C192" t="str">
        <f t="shared" si="2"/>
        <v>31-Dec-21</v>
      </c>
      <c r="D192" t="s">
        <v>21</v>
      </c>
      <c r="E192" t="s">
        <v>22</v>
      </c>
      <c r="F192" t="str">
        <f>"BD5CKJ0"</f>
        <v>BD5CKJ0</v>
      </c>
      <c r="G192" t="s">
        <v>219</v>
      </c>
      <c r="I192" t="s">
        <v>156</v>
      </c>
      <c r="J192">
        <v>0.137973404</v>
      </c>
      <c r="K192">
        <v>6200</v>
      </c>
      <c r="L192">
        <v>90586.49</v>
      </c>
      <c r="M192">
        <v>11727.52</v>
      </c>
      <c r="N192">
        <v>14.16</v>
      </c>
      <c r="O192">
        <v>87792</v>
      </c>
      <c r="P192">
        <v>12112.96</v>
      </c>
      <c r="Q192">
        <v>0</v>
      </c>
      <c r="R192">
        <v>0</v>
      </c>
      <c r="S192">
        <v>0.006</v>
      </c>
      <c r="T192" t="s">
        <v>25</v>
      </c>
    </row>
    <row r="193" spans="1:20" ht="15">
      <c r="A193" t="s">
        <v>19</v>
      </c>
      <c r="B193" t="s">
        <v>20</v>
      </c>
      <c r="C193" t="str">
        <f t="shared" si="2"/>
        <v>31-Dec-21</v>
      </c>
      <c r="D193" t="s">
        <v>21</v>
      </c>
      <c r="E193" t="s">
        <v>22</v>
      </c>
      <c r="F193" t="str">
        <f>"BD5CPX9"</f>
        <v>BD5CPX9</v>
      </c>
      <c r="G193" t="s">
        <v>220</v>
      </c>
      <c r="I193" t="s">
        <v>156</v>
      </c>
      <c r="J193">
        <v>0.137973404</v>
      </c>
      <c r="K193">
        <v>5700</v>
      </c>
      <c r="L193">
        <v>90514.07</v>
      </c>
      <c r="M193">
        <v>11511.96</v>
      </c>
      <c r="N193">
        <v>17.16</v>
      </c>
      <c r="O193">
        <v>97812</v>
      </c>
      <c r="P193">
        <v>13495.45</v>
      </c>
      <c r="Q193">
        <v>0</v>
      </c>
      <c r="R193">
        <v>0</v>
      </c>
      <c r="S193">
        <v>0.007</v>
      </c>
      <c r="T193" t="s">
        <v>25</v>
      </c>
    </row>
    <row r="194" spans="1:20" ht="15">
      <c r="A194" t="s">
        <v>19</v>
      </c>
      <c r="B194" t="s">
        <v>20</v>
      </c>
      <c r="C194" t="str">
        <f aca="true" t="shared" si="3" ref="C194:C257">"31-Dec-21"</f>
        <v>31-Dec-21</v>
      </c>
      <c r="D194" t="s">
        <v>21</v>
      </c>
      <c r="E194" t="s">
        <v>22</v>
      </c>
      <c r="F194" t="str">
        <f>"BP3RDW5"</f>
        <v>BP3RDW5</v>
      </c>
      <c r="G194" t="s">
        <v>221</v>
      </c>
      <c r="I194" t="s">
        <v>156</v>
      </c>
      <c r="J194">
        <v>0.137973404</v>
      </c>
      <c r="K194">
        <v>14287</v>
      </c>
      <c r="L194">
        <v>117953.01</v>
      </c>
      <c r="M194">
        <v>14899.92</v>
      </c>
      <c r="N194">
        <v>18.2</v>
      </c>
      <c r="O194">
        <v>260023.4</v>
      </c>
      <c r="P194">
        <v>35876.31</v>
      </c>
      <c r="Q194">
        <v>0</v>
      </c>
      <c r="R194">
        <v>0</v>
      </c>
      <c r="S194">
        <v>0.018</v>
      </c>
      <c r="T194" t="s">
        <v>25</v>
      </c>
    </row>
    <row r="195" spans="1:20" ht="15">
      <c r="A195" t="s">
        <v>19</v>
      </c>
      <c r="B195" t="s">
        <v>20</v>
      </c>
      <c r="C195" t="str">
        <f t="shared" si="3"/>
        <v>31-Dec-21</v>
      </c>
      <c r="D195" t="s">
        <v>21</v>
      </c>
      <c r="E195" t="s">
        <v>22</v>
      </c>
      <c r="F195" t="str">
        <f>"BP3R251"</f>
        <v>BP3R251</v>
      </c>
      <c r="G195" t="s">
        <v>222</v>
      </c>
      <c r="I195" t="s">
        <v>156</v>
      </c>
      <c r="J195">
        <v>0.137973404</v>
      </c>
      <c r="K195">
        <v>12500</v>
      </c>
      <c r="L195">
        <v>357628.68</v>
      </c>
      <c r="M195">
        <v>45561.2</v>
      </c>
      <c r="N195">
        <v>30.09</v>
      </c>
      <c r="O195">
        <v>376125</v>
      </c>
      <c r="P195">
        <v>51895.25</v>
      </c>
      <c r="Q195">
        <v>0</v>
      </c>
      <c r="R195">
        <v>0</v>
      </c>
      <c r="S195">
        <v>0.026</v>
      </c>
      <c r="T195" t="s">
        <v>25</v>
      </c>
    </row>
    <row r="196" spans="1:20" ht="15">
      <c r="A196" t="s">
        <v>19</v>
      </c>
      <c r="B196" t="s">
        <v>20</v>
      </c>
      <c r="C196" t="str">
        <f t="shared" si="3"/>
        <v>31-Dec-21</v>
      </c>
      <c r="D196" t="s">
        <v>21</v>
      </c>
      <c r="E196" t="s">
        <v>22</v>
      </c>
      <c r="F196" t="str">
        <f>"BP3R273"</f>
        <v>BP3R273</v>
      </c>
      <c r="G196" t="s">
        <v>223</v>
      </c>
      <c r="I196" t="s">
        <v>156</v>
      </c>
      <c r="J196">
        <v>0.137973404</v>
      </c>
      <c r="K196">
        <v>47000</v>
      </c>
      <c r="L196">
        <v>1650023.02</v>
      </c>
      <c r="M196">
        <v>210835.21</v>
      </c>
      <c r="N196">
        <v>48.71</v>
      </c>
      <c r="O196">
        <v>2289370</v>
      </c>
      <c r="P196">
        <v>315872.17</v>
      </c>
      <c r="Q196">
        <v>0</v>
      </c>
      <c r="R196">
        <v>0</v>
      </c>
      <c r="S196">
        <v>0.157</v>
      </c>
      <c r="T196" t="s">
        <v>25</v>
      </c>
    </row>
    <row r="197" spans="1:20" ht="15">
      <c r="A197" t="s">
        <v>19</v>
      </c>
      <c r="B197" t="s">
        <v>20</v>
      </c>
      <c r="C197" t="str">
        <f t="shared" si="3"/>
        <v>31-Dec-21</v>
      </c>
      <c r="D197" t="s">
        <v>21</v>
      </c>
      <c r="E197" t="s">
        <v>22</v>
      </c>
      <c r="F197" t="str">
        <f>"BD5LS04"</f>
        <v>BD5LS04</v>
      </c>
      <c r="G197" t="s">
        <v>224</v>
      </c>
      <c r="I197" t="s">
        <v>156</v>
      </c>
      <c r="J197">
        <v>0.137973404</v>
      </c>
      <c r="K197">
        <v>4800</v>
      </c>
      <c r="L197">
        <v>122093.15</v>
      </c>
      <c r="M197">
        <v>15562.7</v>
      </c>
      <c r="N197">
        <v>20.26</v>
      </c>
      <c r="O197">
        <v>97248</v>
      </c>
      <c r="P197">
        <v>13417.64</v>
      </c>
      <c r="Q197">
        <v>0</v>
      </c>
      <c r="R197">
        <v>0</v>
      </c>
      <c r="S197">
        <v>0.007</v>
      </c>
      <c r="T197" t="s">
        <v>25</v>
      </c>
    </row>
    <row r="198" spans="1:20" ht="15">
      <c r="A198" t="s">
        <v>19</v>
      </c>
      <c r="B198" t="s">
        <v>20</v>
      </c>
      <c r="C198" t="str">
        <f t="shared" si="3"/>
        <v>31-Dec-21</v>
      </c>
      <c r="D198" t="s">
        <v>21</v>
      </c>
      <c r="E198" t="s">
        <v>22</v>
      </c>
      <c r="F198" t="str">
        <f>"BP3R303"</f>
        <v>BP3R303</v>
      </c>
      <c r="G198" t="s">
        <v>225</v>
      </c>
      <c r="I198" t="s">
        <v>156</v>
      </c>
      <c r="J198">
        <v>0.137973404</v>
      </c>
      <c r="K198">
        <v>15667</v>
      </c>
      <c r="L198">
        <v>272496.34</v>
      </c>
      <c r="M198">
        <v>33993.57</v>
      </c>
      <c r="N198">
        <v>17.65</v>
      </c>
      <c r="O198">
        <v>276522.55</v>
      </c>
      <c r="P198">
        <v>38152.76</v>
      </c>
      <c r="Q198">
        <v>0</v>
      </c>
      <c r="R198">
        <v>0</v>
      </c>
      <c r="S198">
        <v>0.019</v>
      </c>
      <c r="T198" t="s">
        <v>25</v>
      </c>
    </row>
    <row r="199" spans="1:20" ht="15">
      <c r="A199" t="s">
        <v>19</v>
      </c>
      <c r="B199" t="s">
        <v>20</v>
      </c>
      <c r="C199" t="str">
        <f t="shared" si="3"/>
        <v>31-Dec-21</v>
      </c>
      <c r="D199" t="s">
        <v>21</v>
      </c>
      <c r="E199" t="s">
        <v>22</v>
      </c>
      <c r="F199" t="str">
        <f>"BD5CPM8"</f>
        <v>BD5CPM8</v>
      </c>
      <c r="G199" t="s">
        <v>226</v>
      </c>
      <c r="I199" t="s">
        <v>156</v>
      </c>
      <c r="J199">
        <v>0.137973404</v>
      </c>
      <c r="K199">
        <v>26300</v>
      </c>
      <c r="L199">
        <v>501835.44</v>
      </c>
      <c r="M199">
        <v>64088.92</v>
      </c>
      <c r="N199">
        <v>13.34</v>
      </c>
      <c r="O199">
        <v>350842</v>
      </c>
      <c r="P199">
        <v>48406.87</v>
      </c>
      <c r="Q199">
        <v>0</v>
      </c>
      <c r="R199">
        <v>0</v>
      </c>
      <c r="S199">
        <v>0.024</v>
      </c>
      <c r="T199" t="s">
        <v>25</v>
      </c>
    </row>
    <row r="200" spans="1:20" ht="15">
      <c r="A200" t="s">
        <v>19</v>
      </c>
      <c r="B200" t="s">
        <v>20</v>
      </c>
      <c r="C200" t="str">
        <f t="shared" si="3"/>
        <v>31-Dec-21</v>
      </c>
      <c r="D200" t="s">
        <v>21</v>
      </c>
      <c r="E200" t="s">
        <v>22</v>
      </c>
      <c r="F200" t="str">
        <f>"BP3R2C8"</f>
        <v>BP3R2C8</v>
      </c>
      <c r="G200" t="s">
        <v>227</v>
      </c>
      <c r="I200" t="s">
        <v>156</v>
      </c>
      <c r="J200">
        <v>0.137973404</v>
      </c>
      <c r="K200">
        <v>42100</v>
      </c>
      <c r="L200">
        <v>251804.82</v>
      </c>
      <c r="M200">
        <v>32222.8</v>
      </c>
      <c r="N200">
        <v>3.9</v>
      </c>
      <c r="O200">
        <v>164190</v>
      </c>
      <c r="P200">
        <v>22653.85</v>
      </c>
      <c r="Q200">
        <v>0</v>
      </c>
      <c r="R200">
        <v>0</v>
      </c>
      <c r="S200">
        <v>0.011</v>
      </c>
      <c r="T200" t="s">
        <v>25</v>
      </c>
    </row>
    <row r="201" spans="1:20" ht="15">
      <c r="A201" t="s">
        <v>19</v>
      </c>
      <c r="B201" t="s">
        <v>20</v>
      </c>
      <c r="C201" t="str">
        <f t="shared" si="3"/>
        <v>31-Dec-21</v>
      </c>
      <c r="D201" t="s">
        <v>21</v>
      </c>
      <c r="E201" t="s">
        <v>22</v>
      </c>
      <c r="F201" t="str">
        <f>"BP3R574"</f>
        <v>BP3R574</v>
      </c>
      <c r="G201" t="s">
        <v>228</v>
      </c>
      <c r="I201" t="s">
        <v>156</v>
      </c>
      <c r="J201">
        <v>0.137973404</v>
      </c>
      <c r="K201">
        <v>33400</v>
      </c>
      <c r="L201">
        <v>119692.62</v>
      </c>
      <c r="M201">
        <v>15847.35</v>
      </c>
      <c r="N201">
        <v>5.58</v>
      </c>
      <c r="O201">
        <v>186372</v>
      </c>
      <c r="P201">
        <v>25714.38</v>
      </c>
      <c r="Q201">
        <v>0</v>
      </c>
      <c r="R201">
        <v>0</v>
      </c>
      <c r="S201">
        <v>0.013</v>
      </c>
      <c r="T201" t="s">
        <v>25</v>
      </c>
    </row>
    <row r="202" spans="1:20" ht="15">
      <c r="A202" t="s">
        <v>19</v>
      </c>
      <c r="B202" t="s">
        <v>20</v>
      </c>
      <c r="C202" t="str">
        <f t="shared" si="3"/>
        <v>31-Dec-21</v>
      </c>
      <c r="D202" t="s">
        <v>21</v>
      </c>
      <c r="E202" t="s">
        <v>22</v>
      </c>
      <c r="F202" t="str">
        <f>"BP3R4J9"</f>
        <v>BP3R4J9</v>
      </c>
      <c r="G202" t="s">
        <v>229</v>
      </c>
      <c r="I202" t="s">
        <v>156</v>
      </c>
      <c r="J202">
        <v>0.137973404</v>
      </c>
      <c r="K202">
        <v>16900</v>
      </c>
      <c r="L202">
        <v>112115.2</v>
      </c>
      <c r="M202">
        <v>14433.01</v>
      </c>
      <c r="N202">
        <v>12</v>
      </c>
      <c r="O202">
        <v>202800</v>
      </c>
      <c r="P202">
        <v>27981.01</v>
      </c>
      <c r="Q202">
        <v>0</v>
      </c>
      <c r="R202">
        <v>0</v>
      </c>
      <c r="S202">
        <v>0.014</v>
      </c>
      <c r="T202" t="s">
        <v>25</v>
      </c>
    </row>
    <row r="203" spans="1:20" ht="15">
      <c r="A203" t="s">
        <v>19</v>
      </c>
      <c r="B203" t="s">
        <v>20</v>
      </c>
      <c r="C203" t="str">
        <f t="shared" si="3"/>
        <v>31-Dec-21</v>
      </c>
      <c r="D203" t="s">
        <v>21</v>
      </c>
      <c r="E203" t="s">
        <v>22</v>
      </c>
      <c r="F203" t="str">
        <f>"BYQDNJ0"</f>
        <v>BYQDNJ0</v>
      </c>
      <c r="G203" t="s">
        <v>230</v>
      </c>
      <c r="I203" t="s">
        <v>156</v>
      </c>
      <c r="J203">
        <v>0.137973404</v>
      </c>
      <c r="K203">
        <v>48600</v>
      </c>
      <c r="L203">
        <v>264349.05</v>
      </c>
      <c r="M203">
        <v>33859.37</v>
      </c>
      <c r="N203">
        <v>8.3</v>
      </c>
      <c r="O203">
        <v>403380</v>
      </c>
      <c r="P203">
        <v>55655.71</v>
      </c>
      <c r="Q203">
        <v>0</v>
      </c>
      <c r="R203">
        <v>0</v>
      </c>
      <c r="S203">
        <v>0.028</v>
      </c>
      <c r="T203" t="s">
        <v>25</v>
      </c>
    </row>
    <row r="204" spans="1:20" ht="15">
      <c r="A204" t="s">
        <v>19</v>
      </c>
      <c r="B204" t="s">
        <v>20</v>
      </c>
      <c r="C204" t="str">
        <f t="shared" si="3"/>
        <v>31-Dec-21</v>
      </c>
      <c r="D204" t="s">
        <v>21</v>
      </c>
      <c r="E204" t="s">
        <v>22</v>
      </c>
      <c r="F204" t="str">
        <f>"BP3R370"</f>
        <v>BP3R370</v>
      </c>
      <c r="G204" t="s">
        <v>231</v>
      </c>
      <c r="I204" t="s">
        <v>156</v>
      </c>
      <c r="J204">
        <v>0.137973404</v>
      </c>
      <c r="K204">
        <v>9200</v>
      </c>
      <c r="L204">
        <v>110955.63</v>
      </c>
      <c r="M204">
        <v>14223.76</v>
      </c>
      <c r="N204">
        <v>45.8</v>
      </c>
      <c r="O204">
        <v>421360</v>
      </c>
      <c r="P204">
        <v>58136.47</v>
      </c>
      <c r="Q204">
        <v>0</v>
      </c>
      <c r="R204">
        <v>0</v>
      </c>
      <c r="S204">
        <v>0.029</v>
      </c>
      <c r="T204" t="s">
        <v>25</v>
      </c>
    </row>
    <row r="205" spans="1:20" ht="15">
      <c r="A205" t="s">
        <v>19</v>
      </c>
      <c r="B205" t="s">
        <v>20</v>
      </c>
      <c r="C205" t="str">
        <f t="shared" si="3"/>
        <v>31-Dec-21</v>
      </c>
      <c r="D205" t="s">
        <v>21</v>
      </c>
      <c r="E205" t="s">
        <v>22</v>
      </c>
      <c r="F205" t="str">
        <f>"BP3R347"</f>
        <v>BP3R347</v>
      </c>
      <c r="G205" t="s">
        <v>232</v>
      </c>
      <c r="I205" t="s">
        <v>156</v>
      </c>
      <c r="J205">
        <v>0.137973404</v>
      </c>
      <c r="K205">
        <v>6100</v>
      </c>
      <c r="L205">
        <v>91067.4</v>
      </c>
      <c r="M205">
        <v>11723.45</v>
      </c>
      <c r="N205">
        <v>15</v>
      </c>
      <c r="O205">
        <v>91500</v>
      </c>
      <c r="P205">
        <v>12624.57</v>
      </c>
      <c r="Q205">
        <v>0</v>
      </c>
      <c r="R205">
        <v>0</v>
      </c>
      <c r="S205">
        <v>0.006</v>
      </c>
      <c r="T205" t="s">
        <v>25</v>
      </c>
    </row>
    <row r="206" spans="1:20" ht="15">
      <c r="A206" t="s">
        <v>19</v>
      </c>
      <c r="B206" t="s">
        <v>20</v>
      </c>
      <c r="C206" t="str">
        <f t="shared" si="3"/>
        <v>31-Dec-21</v>
      </c>
      <c r="D206" t="s">
        <v>21</v>
      </c>
      <c r="E206" t="s">
        <v>22</v>
      </c>
      <c r="F206" t="str">
        <f>"BP3R2K6"</f>
        <v>BP3R2K6</v>
      </c>
      <c r="G206" t="s">
        <v>233</v>
      </c>
      <c r="I206" t="s">
        <v>156</v>
      </c>
      <c r="J206">
        <v>0.137973404</v>
      </c>
      <c r="K206">
        <v>18100</v>
      </c>
      <c r="L206">
        <v>585578.36</v>
      </c>
      <c r="M206">
        <v>74687.64</v>
      </c>
      <c r="N206">
        <v>27.12</v>
      </c>
      <c r="O206">
        <v>490872</v>
      </c>
      <c r="P206">
        <v>67727.28</v>
      </c>
      <c r="Q206">
        <v>0</v>
      </c>
      <c r="R206">
        <v>0</v>
      </c>
      <c r="S206">
        <v>0.034</v>
      </c>
      <c r="T206" t="s">
        <v>25</v>
      </c>
    </row>
    <row r="207" spans="1:20" ht="15">
      <c r="A207" t="s">
        <v>19</v>
      </c>
      <c r="B207" t="s">
        <v>20</v>
      </c>
      <c r="C207" t="str">
        <f t="shared" si="3"/>
        <v>31-Dec-21</v>
      </c>
      <c r="D207" t="s">
        <v>21</v>
      </c>
      <c r="E207" t="s">
        <v>22</v>
      </c>
      <c r="F207" t="str">
        <f>"BP3R240"</f>
        <v>BP3R240</v>
      </c>
      <c r="G207" t="s">
        <v>234</v>
      </c>
      <c r="I207" t="s">
        <v>156</v>
      </c>
      <c r="J207">
        <v>0.137973404</v>
      </c>
      <c r="K207">
        <v>56800</v>
      </c>
      <c r="L207">
        <v>274078.43</v>
      </c>
      <c r="M207">
        <v>35392.35</v>
      </c>
      <c r="N207">
        <v>4.23</v>
      </c>
      <c r="O207">
        <v>240264</v>
      </c>
      <c r="P207">
        <v>33150.04</v>
      </c>
      <c r="Q207">
        <v>0</v>
      </c>
      <c r="R207">
        <v>0</v>
      </c>
      <c r="S207">
        <v>0.016</v>
      </c>
      <c r="T207" t="s">
        <v>25</v>
      </c>
    </row>
    <row r="208" spans="1:20" ht="15">
      <c r="A208" t="s">
        <v>19</v>
      </c>
      <c r="B208" t="s">
        <v>20</v>
      </c>
      <c r="C208" t="str">
        <f t="shared" si="3"/>
        <v>31-Dec-21</v>
      </c>
      <c r="D208" t="s">
        <v>21</v>
      </c>
      <c r="E208" t="s">
        <v>22</v>
      </c>
      <c r="F208" t="str">
        <f>"BP3R3D6"</f>
        <v>BP3R3D6</v>
      </c>
      <c r="G208" t="s">
        <v>235</v>
      </c>
      <c r="I208" t="s">
        <v>156</v>
      </c>
      <c r="J208">
        <v>0.137973404</v>
      </c>
      <c r="K208">
        <v>71500</v>
      </c>
      <c r="L208">
        <v>404266.9</v>
      </c>
      <c r="M208">
        <v>49863.02</v>
      </c>
      <c r="N208">
        <v>5.79</v>
      </c>
      <c r="O208">
        <v>413985</v>
      </c>
      <c r="P208">
        <v>57118.92</v>
      </c>
      <c r="Q208">
        <v>0</v>
      </c>
      <c r="R208">
        <v>0</v>
      </c>
      <c r="S208">
        <v>0.028</v>
      </c>
      <c r="T208" t="s">
        <v>25</v>
      </c>
    </row>
    <row r="209" spans="1:20" ht="15">
      <c r="A209" t="s">
        <v>19</v>
      </c>
      <c r="B209" t="s">
        <v>20</v>
      </c>
      <c r="C209" t="str">
        <f t="shared" si="3"/>
        <v>31-Dec-21</v>
      </c>
      <c r="D209" t="s">
        <v>21</v>
      </c>
      <c r="E209" t="s">
        <v>22</v>
      </c>
      <c r="F209" t="str">
        <f>"BK71F88"</f>
        <v>BK71F88</v>
      </c>
      <c r="G209" t="s">
        <v>236</v>
      </c>
      <c r="I209" t="s">
        <v>156</v>
      </c>
      <c r="J209">
        <v>0.137973404</v>
      </c>
      <c r="K209">
        <v>22000</v>
      </c>
      <c r="L209">
        <v>124375.66</v>
      </c>
      <c r="M209">
        <v>16011.35</v>
      </c>
      <c r="N209">
        <v>4.98</v>
      </c>
      <c r="O209">
        <v>109560</v>
      </c>
      <c r="P209">
        <v>15116.37</v>
      </c>
      <c r="Q209">
        <v>0</v>
      </c>
      <c r="R209">
        <v>0</v>
      </c>
      <c r="S209">
        <v>0.007</v>
      </c>
      <c r="T209" t="s">
        <v>25</v>
      </c>
    </row>
    <row r="210" spans="1:20" ht="15">
      <c r="A210" t="s">
        <v>19</v>
      </c>
      <c r="B210" t="s">
        <v>20</v>
      </c>
      <c r="C210" t="str">
        <f t="shared" si="3"/>
        <v>31-Dec-21</v>
      </c>
      <c r="D210" t="s">
        <v>21</v>
      </c>
      <c r="E210" t="s">
        <v>22</v>
      </c>
      <c r="F210" t="str">
        <f>"BD5CL42"</f>
        <v>BD5CL42</v>
      </c>
      <c r="G210" t="s">
        <v>237</v>
      </c>
      <c r="I210" t="s">
        <v>156</v>
      </c>
      <c r="J210">
        <v>0.137973404</v>
      </c>
      <c r="K210">
        <v>6800</v>
      </c>
      <c r="L210">
        <v>194389.5</v>
      </c>
      <c r="M210">
        <v>24555.44</v>
      </c>
      <c r="N210">
        <v>34.24</v>
      </c>
      <c r="O210">
        <v>232832</v>
      </c>
      <c r="P210">
        <v>32124.62</v>
      </c>
      <c r="Q210">
        <v>0</v>
      </c>
      <c r="R210">
        <v>0</v>
      </c>
      <c r="S210">
        <v>0.016</v>
      </c>
      <c r="T210" t="s">
        <v>25</v>
      </c>
    </row>
    <row r="211" spans="1:20" ht="15">
      <c r="A211" t="s">
        <v>19</v>
      </c>
      <c r="B211" t="s">
        <v>20</v>
      </c>
      <c r="C211" t="str">
        <f t="shared" si="3"/>
        <v>31-Dec-21</v>
      </c>
      <c r="D211" t="s">
        <v>21</v>
      </c>
      <c r="E211" t="s">
        <v>22</v>
      </c>
      <c r="F211" t="str">
        <f>"BP3R262"</f>
        <v>BP3R262</v>
      </c>
      <c r="G211" t="s">
        <v>238</v>
      </c>
      <c r="I211" t="s">
        <v>156</v>
      </c>
      <c r="J211">
        <v>0.137973404</v>
      </c>
      <c r="K211">
        <v>16700</v>
      </c>
      <c r="L211">
        <v>297207.41</v>
      </c>
      <c r="M211">
        <v>37894.6</v>
      </c>
      <c r="N211">
        <v>22.52</v>
      </c>
      <c r="O211">
        <v>376084</v>
      </c>
      <c r="P211">
        <v>51889.59</v>
      </c>
      <c r="Q211">
        <v>0</v>
      </c>
      <c r="R211">
        <v>0</v>
      </c>
      <c r="S211">
        <v>0.026</v>
      </c>
      <c r="T211" t="s">
        <v>25</v>
      </c>
    </row>
    <row r="212" spans="1:20" ht="15">
      <c r="A212" t="s">
        <v>19</v>
      </c>
      <c r="B212" t="s">
        <v>20</v>
      </c>
      <c r="C212" t="str">
        <f t="shared" si="3"/>
        <v>31-Dec-21</v>
      </c>
      <c r="D212" t="s">
        <v>21</v>
      </c>
      <c r="E212" t="s">
        <v>22</v>
      </c>
      <c r="F212" t="str">
        <f>"BP3R6G0"</f>
        <v>BP3R6G0</v>
      </c>
      <c r="G212" t="s">
        <v>239</v>
      </c>
      <c r="I212" t="s">
        <v>156</v>
      </c>
      <c r="J212">
        <v>0.137973404</v>
      </c>
      <c r="K212">
        <v>4700</v>
      </c>
      <c r="L212">
        <v>32077.39</v>
      </c>
      <c r="M212">
        <v>4108.66</v>
      </c>
      <c r="N212">
        <v>6.81</v>
      </c>
      <c r="O212">
        <v>32007</v>
      </c>
      <c r="P212">
        <v>4416.11</v>
      </c>
      <c r="Q212">
        <v>0</v>
      </c>
      <c r="R212">
        <v>0</v>
      </c>
      <c r="S212">
        <v>0.002</v>
      </c>
      <c r="T212" t="s">
        <v>25</v>
      </c>
    </row>
    <row r="213" spans="1:20" ht="15">
      <c r="A213" t="s">
        <v>19</v>
      </c>
      <c r="B213" t="s">
        <v>20</v>
      </c>
      <c r="C213" t="str">
        <f t="shared" si="3"/>
        <v>31-Dec-21</v>
      </c>
      <c r="D213" t="s">
        <v>21</v>
      </c>
      <c r="E213" t="s">
        <v>22</v>
      </c>
      <c r="F213" t="str">
        <f>"BP3R2Q2"</f>
        <v>BP3R2Q2</v>
      </c>
      <c r="G213" t="s">
        <v>240</v>
      </c>
      <c r="I213" t="s">
        <v>156</v>
      </c>
      <c r="J213">
        <v>0.137973404</v>
      </c>
      <c r="K213">
        <v>101800</v>
      </c>
      <c r="L213">
        <v>564511.36</v>
      </c>
      <c r="M213">
        <v>71911.68</v>
      </c>
      <c r="N213">
        <v>5</v>
      </c>
      <c r="O213">
        <v>509000</v>
      </c>
      <c r="P213">
        <v>70228.46</v>
      </c>
      <c r="Q213">
        <v>0</v>
      </c>
      <c r="R213">
        <v>0</v>
      </c>
      <c r="S213">
        <v>0.035</v>
      </c>
      <c r="T213" t="s">
        <v>25</v>
      </c>
    </row>
    <row r="214" spans="1:20" ht="15">
      <c r="A214" t="s">
        <v>19</v>
      </c>
      <c r="B214" t="s">
        <v>20</v>
      </c>
      <c r="C214" t="str">
        <f t="shared" si="3"/>
        <v>31-Dec-21</v>
      </c>
      <c r="D214" t="s">
        <v>21</v>
      </c>
      <c r="E214" t="s">
        <v>22</v>
      </c>
      <c r="F214" t="str">
        <f>"BP3R466"</f>
        <v>BP3R466</v>
      </c>
      <c r="G214" t="s">
        <v>241</v>
      </c>
      <c r="I214" t="s">
        <v>156</v>
      </c>
      <c r="J214">
        <v>0.137973404</v>
      </c>
      <c r="K214">
        <v>4700</v>
      </c>
      <c r="L214">
        <v>536105.93</v>
      </c>
      <c r="M214">
        <v>68146.47</v>
      </c>
      <c r="N214">
        <v>219.41</v>
      </c>
      <c r="O214">
        <v>1031227</v>
      </c>
      <c r="P214">
        <v>142281.9</v>
      </c>
      <c r="Q214">
        <v>0</v>
      </c>
      <c r="R214">
        <v>0</v>
      </c>
      <c r="S214">
        <v>0.071</v>
      </c>
      <c r="T214" t="s">
        <v>25</v>
      </c>
    </row>
    <row r="215" spans="1:20" ht="15">
      <c r="A215" t="s">
        <v>19</v>
      </c>
      <c r="B215" t="s">
        <v>20</v>
      </c>
      <c r="C215" t="str">
        <f t="shared" si="3"/>
        <v>31-Dec-21</v>
      </c>
      <c r="D215" t="s">
        <v>21</v>
      </c>
      <c r="E215" t="s">
        <v>22</v>
      </c>
      <c r="F215" t="str">
        <f>"BD5CJ37"</f>
        <v>BD5CJ37</v>
      </c>
      <c r="G215" t="s">
        <v>242</v>
      </c>
      <c r="I215" t="s">
        <v>156</v>
      </c>
      <c r="J215">
        <v>0.137973404</v>
      </c>
      <c r="K215">
        <v>3800</v>
      </c>
      <c r="L215">
        <v>76654.62</v>
      </c>
      <c r="M215">
        <v>9749.25</v>
      </c>
      <c r="N215">
        <v>14.95</v>
      </c>
      <c r="O215">
        <v>56810</v>
      </c>
      <c r="P215">
        <v>7838.27</v>
      </c>
      <c r="Q215">
        <v>0</v>
      </c>
      <c r="R215">
        <v>0</v>
      </c>
      <c r="S215">
        <v>0.004</v>
      </c>
      <c r="T215" t="s">
        <v>25</v>
      </c>
    </row>
    <row r="216" spans="1:20" ht="15">
      <c r="A216" t="s">
        <v>19</v>
      </c>
      <c r="B216" t="s">
        <v>20</v>
      </c>
      <c r="C216" t="str">
        <f t="shared" si="3"/>
        <v>31-Dec-21</v>
      </c>
      <c r="D216" t="s">
        <v>21</v>
      </c>
      <c r="E216" t="s">
        <v>22</v>
      </c>
      <c r="F216" t="str">
        <f>"BD5CPW8"</f>
        <v>BD5CPW8</v>
      </c>
      <c r="G216" t="s">
        <v>243</v>
      </c>
      <c r="I216" t="s">
        <v>156</v>
      </c>
      <c r="J216">
        <v>0.137973404</v>
      </c>
      <c r="K216">
        <v>20500</v>
      </c>
      <c r="L216">
        <v>533106.32</v>
      </c>
      <c r="M216">
        <v>67959.52</v>
      </c>
      <c r="N216">
        <v>19.76</v>
      </c>
      <c r="O216">
        <v>405080</v>
      </c>
      <c r="P216">
        <v>55890.27</v>
      </c>
      <c r="Q216">
        <v>0</v>
      </c>
      <c r="R216">
        <v>0</v>
      </c>
      <c r="S216">
        <v>0.028</v>
      </c>
      <c r="T216" t="s">
        <v>25</v>
      </c>
    </row>
    <row r="217" spans="1:20" ht="15">
      <c r="A217" t="s">
        <v>19</v>
      </c>
      <c r="B217" t="s">
        <v>20</v>
      </c>
      <c r="C217" t="str">
        <f t="shared" si="3"/>
        <v>31-Dec-21</v>
      </c>
      <c r="D217" t="s">
        <v>21</v>
      </c>
      <c r="E217" t="s">
        <v>22</v>
      </c>
      <c r="F217" t="str">
        <f>"BP3R2M8"</f>
        <v>BP3R2M8</v>
      </c>
      <c r="G217" t="s">
        <v>244</v>
      </c>
      <c r="I217" t="s">
        <v>156</v>
      </c>
      <c r="J217">
        <v>0.137973404</v>
      </c>
      <c r="K217">
        <v>32022</v>
      </c>
      <c r="L217">
        <v>588254.02</v>
      </c>
      <c r="M217">
        <v>74912.35</v>
      </c>
      <c r="N217">
        <v>22.7</v>
      </c>
      <c r="O217">
        <v>726899.4</v>
      </c>
      <c r="P217">
        <v>100292.78</v>
      </c>
      <c r="Q217">
        <v>0</v>
      </c>
      <c r="R217">
        <v>0</v>
      </c>
      <c r="S217">
        <v>0.05</v>
      </c>
      <c r="T217" t="s">
        <v>25</v>
      </c>
    </row>
    <row r="218" spans="1:20" ht="15">
      <c r="A218" t="s">
        <v>19</v>
      </c>
      <c r="B218" t="s">
        <v>20</v>
      </c>
      <c r="C218" t="str">
        <f t="shared" si="3"/>
        <v>31-Dec-21</v>
      </c>
      <c r="D218" t="s">
        <v>21</v>
      </c>
      <c r="E218" t="s">
        <v>22</v>
      </c>
      <c r="F218" t="str">
        <f>"BP3RCZ1"</f>
        <v>BP3RCZ1</v>
      </c>
      <c r="G218" t="s">
        <v>245</v>
      </c>
      <c r="I218" t="s">
        <v>156</v>
      </c>
      <c r="J218">
        <v>0.137973404</v>
      </c>
      <c r="K218">
        <v>1700</v>
      </c>
      <c r="L218">
        <v>176397.32</v>
      </c>
      <c r="M218">
        <v>22708.29</v>
      </c>
      <c r="N218">
        <v>151.32</v>
      </c>
      <c r="O218">
        <v>257244</v>
      </c>
      <c r="P218">
        <v>35492.83</v>
      </c>
      <c r="Q218">
        <v>0</v>
      </c>
      <c r="R218">
        <v>0</v>
      </c>
      <c r="S218">
        <v>0.018</v>
      </c>
      <c r="T218" t="s">
        <v>25</v>
      </c>
    </row>
    <row r="219" spans="1:20" ht="15">
      <c r="A219" t="s">
        <v>19</v>
      </c>
      <c r="B219" t="s">
        <v>20</v>
      </c>
      <c r="C219" t="str">
        <f t="shared" si="3"/>
        <v>31-Dec-21</v>
      </c>
      <c r="D219" t="s">
        <v>21</v>
      </c>
      <c r="E219" t="s">
        <v>22</v>
      </c>
      <c r="F219" t="str">
        <f>"BD5CP62"</f>
        <v>BD5CP62</v>
      </c>
      <c r="G219" t="s">
        <v>246</v>
      </c>
      <c r="I219" t="s">
        <v>156</v>
      </c>
      <c r="J219">
        <v>0.137973404</v>
      </c>
      <c r="K219">
        <v>11860</v>
      </c>
      <c r="L219">
        <v>89718.12</v>
      </c>
      <c r="M219">
        <v>11527.59</v>
      </c>
      <c r="N219">
        <v>15.19</v>
      </c>
      <c r="O219">
        <v>180153.4</v>
      </c>
      <c r="P219">
        <v>24856.38</v>
      </c>
      <c r="Q219">
        <v>0</v>
      </c>
      <c r="R219">
        <v>0</v>
      </c>
      <c r="S219">
        <v>0.012</v>
      </c>
      <c r="T219" t="s">
        <v>25</v>
      </c>
    </row>
    <row r="220" spans="1:20" ht="15">
      <c r="A220" t="s">
        <v>19</v>
      </c>
      <c r="B220" t="s">
        <v>20</v>
      </c>
      <c r="C220" t="str">
        <f t="shared" si="3"/>
        <v>31-Dec-21</v>
      </c>
      <c r="D220" t="s">
        <v>21</v>
      </c>
      <c r="E220" t="s">
        <v>22</v>
      </c>
      <c r="F220" t="str">
        <f>"BD5CJY8"</f>
        <v>BD5CJY8</v>
      </c>
      <c r="G220" t="s">
        <v>247</v>
      </c>
      <c r="I220" t="s">
        <v>156</v>
      </c>
      <c r="J220">
        <v>0.137973404</v>
      </c>
      <c r="K220">
        <v>3000</v>
      </c>
      <c r="L220">
        <v>156247.45</v>
      </c>
      <c r="M220">
        <v>20013.09</v>
      </c>
      <c r="N220">
        <v>124.6</v>
      </c>
      <c r="O220">
        <v>373800</v>
      </c>
      <c r="P220">
        <v>51574.46</v>
      </c>
      <c r="Q220">
        <v>0</v>
      </c>
      <c r="R220">
        <v>0</v>
      </c>
      <c r="S220">
        <v>0.026</v>
      </c>
      <c r="T220" t="s">
        <v>25</v>
      </c>
    </row>
    <row r="221" spans="1:20" ht="15">
      <c r="A221" t="s">
        <v>19</v>
      </c>
      <c r="B221" t="s">
        <v>20</v>
      </c>
      <c r="C221" t="str">
        <f t="shared" si="3"/>
        <v>31-Dec-21</v>
      </c>
      <c r="D221" t="s">
        <v>21</v>
      </c>
      <c r="E221" t="s">
        <v>22</v>
      </c>
      <c r="F221" t="str">
        <f>"BL4P3T7"</f>
        <v>BL4P3T7</v>
      </c>
      <c r="G221" t="s">
        <v>248</v>
      </c>
      <c r="I221" t="s">
        <v>156</v>
      </c>
      <c r="J221">
        <v>0.137973404</v>
      </c>
      <c r="K221">
        <v>12970</v>
      </c>
      <c r="L221">
        <v>199978.43</v>
      </c>
      <c r="M221">
        <v>26477.22</v>
      </c>
      <c r="N221">
        <v>20.48</v>
      </c>
      <c r="O221">
        <v>265625.6</v>
      </c>
      <c r="P221">
        <v>36649.27</v>
      </c>
      <c r="Q221">
        <v>0</v>
      </c>
      <c r="R221">
        <v>0</v>
      </c>
      <c r="S221">
        <v>0.018</v>
      </c>
      <c r="T221" t="s">
        <v>25</v>
      </c>
    </row>
    <row r="222" spans="1:20" ht="15">
      <c r="A222" t="s">
        <v>19</v>
      </c>
      <c r="B222" t="s">
        <v>20</v>
      </c>
      <c r="C222" t="str">
        <f t="shared" si="3"/>
        <v>31-Dec-21</v>
      </c>
      <c r="D222" t="s">
        <v>21</v>
      </c>
      <c r="E222" t="s">
        <v>22</v>
      </c>
      <c r="F222" t="str">
        <f>"BHQPSY7"</f>
        <v>BHQPSY7</v>
      </c>
      <c r="G222" t="s">
        <v>249</v>
      </c>
      <c r="I222" t="s">
        <v>156</v>
      </c>
      <c r="J222">
        <v>0.137973404</v>
      </c>
      <c r="K222">
        <v>4800</v>
      </c>
      <c r="L222">
        <v>1974312.89</v>
      </c>
      <c r="M222">
        <v>273069.8</v>
      </c>
      <c r="N222">
        <v>588</v>
      </c>
      <c r="O222">
        <v>2822400</v>
      </c>
      <c r="P222">
        <v>389416.14</v>
      </c>
      <c r="Q222">
        <v>0</v>
      </c>
      <c r="R222">
        <v>0</v>
      </c>
      <c r="S222">
        <v>0.193</v>
      </c>
      <c r="T222" t="s">
        <v>25</v>
      </c>
    </row>
    <row r="223" spans="1:20" ht="15">
      <c r="A223" t="s">
        <v>19</v>
      </c>
      <c r="B223" t="s">
        <v>20</v>
      </c>
      <c r="C223" t="str">
        <f t="shared" si="3"/>
        <v>31-Dec-21</v>
      </c>
      <c r="D223" t="s">
        <v>21</v>
      </c>
      <c r="E223" t="s">
        <v>22</v>
      </c>
      <c r="F223" t="str">
        <f>"BD5CNL3"</f>
        <v>BD5CNL3</v>
      </c>
      <c r="G223" t="s">
        <v>250</v>
      </c>
      <c r="I223" t="s">
        <v>156</v>
      </c>
      <c r="J223">
        <v>0.137973404</v>
      </c>
      <c r="K223">
        <v>13600</v>
      </c>
      <c r="L223">
        <v>197535.05</v>
      </c>
      <c r="M223">
        <v>26153.72</v>
      </c>
      <c r="N223">
        <v>7.8</v>
      </c>
      <c r="O223">
        <v>106080</v>
      </c>
      <c r="P223">
        <v>14636.22</v>
      </c>
      <c r="Q223">
        <v>0</v>
      </c>
      <c r="R223">
        <v>0</v>
      </c>
      <c r="S223">
        <v>0.007</v>
      </c>
      <c r="T223" t="s">
        <v>25</v>
      </c>
    </row>
    <row r="224" spans="1:20" ht="15">
      <c r="A224" t="s">
        <v>19</v>
      </c>
      <c r="B224" t="s">
        <v>20</v>
      </c>
      <c r="C224" t="str">
        <f t="shared" si="3"/>
        <v>31-Dec-21</v>
      </c>
      <c r="D224" t="s">
        <v>21</v>
      </c>
      <c r="E224" t="s">
        <v>22</v>
      </c>
      <c r="F224" t="str">
        <f>"BFB4S78"</f>
        <v>BFB4S78</v>
      </c>
      <c r="G224" t="s">
        <v>251</v>
      </c>
      <c r="I224" t="s">
        <v>156</v>
      </c>
      <c r="J224">
        <v>0.137973404</v>
      </c>
      <c r="K224">
        <v>1320</v>
      </c>
      <c r="L224">
        <v>106764.95</v>
      </c>
      <c r="M224">
        <v>13608.88</v>
      </c>
      <c r="N224">
        <v>42.11</v>
      </c>
      <c r="O224">
        <v>55585.2</v>
      </c>
      <c r="P224">
        <v>7669.28</v>
      </c>
      <c r="Q224">
        <v>0</v>
      </c>
      <c r="R224">
        <v>0</v>
      </c>
      <c r="S224">
        <v>0.004</v>
      </c>
      <c r="T224" t="s">
        <v>25</v>
      </c>
    </row>
    <row r="225" spans="1:20" ht="15">
      <c r="A225" t="s">
        <v>19</v>
      </c>
      <c r="B225" t="s">
        <v>20</v>
      </c>
      <c r="C225" t="str">
        <f t="shared" si="3"/>
        <v>31-Dec-21</v>
      </c>
      <c r="D225" t="s">
        <v>21</v>
      </c>
      <c r="E225" t="s">
        <v>22</v>
      </c>
      <c r="F225" t="str">
        <f>"BD5CKW3"</f>
        <v>BD5CKW3</v>
      </c>
      <c r="G225" t="s">
        <v>252</v>
      </c>
      <c r="I225" t="s">
        <v>156</v>
      </c>
      <c r="J225">
        <v>0.137973404</v>
      </c>
      <c r="K225">
        <v>4960</v>
      </c>
      <c r="L225">
        <v>82458.39</v>
      </c>
      <c r="M225">
        <v>10416.21</v>
      </c>
      <c r="N225">
        <v>20.06</v>
      </c>
      <c r="O225">
        <v>99497.6</v>
      </c>
      <c r="P225">
        <v>13728.02</v>
      </c>
      <c r="Q225">
        <v>0</v>
      </c>
      <c r="R225">
        <v>0</v>
      </c>
      <c r="S225">
        <v>0.007</v>
      </c>
      <c r="T225" t="s">
        <v>25</v>
      </c>
    </row>
    <row r="226" spans="1:20" ht="15">
      <c r="A226" t="s">
        <v>19</v>
      </c>
      <c r="B226" t="s">
        <v>20</v>
      </c>
      <c r="C226" t="str">
        <f t="shared" si="3"/>
        <v>31-Dec-21</v>
      </c>
      <c r="D226" t="s">
        <v>21</v>
      </c>
      <c r="E226" t="s">
        <v>22</v>
      </c>
      <c r="F226" t="str">
        <f>"BD5CHK0"</f>
        <v>BD5CHK0</v>
      </c>
      <c r="G226" t="s">
        <v>253</v>
      </c>
      <c r="I226" t="s">
        <v>156</v>
      </c>
      <c r="J226">
        <v>0.137973404</v>
      </c>
      <c r="K226">
        <v>2800</v>
      </c>
      <c r="L226">
        <v>112264.29</v>
      </c>
      <c r="M226">
        <v>14309.86</v>
      </c>
      <c r="N226">
        <v>33.57</v>
      </c>
      <c r="O226">
        <v>93996</v>
      </c>
      <c r="P226">
        <v>12968.95</v>
      </c>
      <c r="Q226">
        <v>0</v>
      </c>
      <c r="R226">
        <v>0</v>
      </c>
      <c r="S226">
        <v>0.006</v>
      </c>
      <c r="T226" t="s">
        <v>25</v>
      </c>
    </row>
    <row r="227" spans="1:20" ht="15">
      <c r="A227" t="s">
        <v>19</v>
      </c>
      <c r="B227" t="s">
        <v>20</v>
      </c>
      <c r="C227" t="str">
        <f t="shared" si="3"/>
        <v>31-Dec-21</v>
      </c>
      <c r="D227" t="s">
        <v>21</v>
      </c>
      <c r="E227" t="s">
        <v>22</v>
      </c>
      <c r="F227" t="str">
        <f>"BD5CM61"</f>
        <v>BD5CM61</v>
      </c>
      <c r="G227" t="s">
        <v>254</v>
      </c>
      <c r="I227" t="s">
        <v>156</v>
      </c>
      <c r="J227">
        <v>0.137973404</v>
      </c>
      <c r="K227">
        <v>2900</v>
      </c>
      <c r="L227">
        <v>115635.34</v>
      </c>
      <c r="M227">
        <v>14739.55</v>
      </c>
      <c r="N227">
        <v>48.75</v>
      </c>
      <c r="O227">
        <v>141375</v>
      </c>
      <c r="P227">
        <v>19505.99</v>
      </c>
      <c r="Q227">
        <v>0</v>
      </c>
      <c r="R227">
        <v>0</v>
      </c>
      <c r="S227">
        <v>0.01</v>
      </c>
      <c r="T227" t="s">
        <v>25</v>
      </c>
    </row>
    <row r="228" spans="1:20" ht="15">
      <c r="A228" t="s">
        <v>19</v>
      </c>
      <c r="B228" t="s">
        <v>20</v>
      </c>
      <c r="C228" t="str">
        <f t="shared" si="3"/>
        <v>31-Dec-21</v>
      </c>
      <c r="D228" t="s">
        <v>21</v>
      </c>
      <c r="E228" t="s">
        <v>22</v>
      </c>
      <c r="F228" t="str">
        <f>"BYYFJJ0"</f>
        <v>BYYFJJ0</v>
      </c>
      <c r="G228" t="s">
        <v>255</v>
      </c>
      <c r="I228" t="s">
        <v>156</v>
      </c>
      <c r="J228">
        <v>0.137973404</v>
      </c>
      <c r="K228">
        <v>9100</v>
      </c>
      <c r="L228">
        <v>133669.31</v>
      </c>
      <c r="M228">
        <v>17000.62</v>
      </c>
      <c r="N228">
        <v>18.36</v>
      </c>
      <c r="O228">
        <v>167076</v>
      </c>
      <c r="P228">
        <v>23052.04</v>
      </c>
      <c r="Q228">
        <v>0</v>
      </c>
      <c r="R228">
        <v>0</v>
      </c>
      <c r="S228">
        <v>0.011</v>
      </c>
      <c r="T228" t="s">
        <v>25</v>
      </c>
    </row>
    <row r="229" spans="1:20" ht="15">
      <c r="A229" t="s">
        <v>19</v>
      </c>
      <c r="B229" t="s">
        <v>20</v>
      </c>
      <c r="C229" t="str">
        <f t="shared" si="3"/>
        <v>31-Dec-21</v>
      </c>
      <c r="D229" t="s">
        <v>21</v>
      </c>
      <c r="E229" t="s">
        <v>22</v>
      </c>
      <c r="F229" t="str">
        <f>"BD5CPC8"</f>
        <v>BD5CPC8</v>
      </c>
      <c r="G229" t="s">
        <v>256</v>
      </c>
      <c r="I229" t="s">
        <v>156</v>
      </c>
      <c r="J229">
        <v>0.137973404</v>
      </c>
      <c r="K229">
        <v>24876</v>
      </c>
      <c r="L229">
        <v>376296.65</v>
      </c>
      <c r="M229">
        <v>47543.24</v>
      </c>
      <c r="N229">
        <v>37.11</v>
      </c>
      <c r="O229">
        <v>923148.36</v>
      </c>
      <c r="P229">
        <v>127369.92</v>
      </c>
      <c r="Q229">
        <v>0</v>
      </c>
      <c r="R229">
        <v>0</v>
      </c>
      <c r="S229">
        <v>0.063</v>
      </c>
      <c r="T229" t="s">
        <v>25</v>
      </c>
    </row>
    <row r="230" spans="1:20" ht="15">
      <c r="A230" t="s">
        <v>19</v>
      </c>
      <c r="B230" t="s">
        <v>20</v>
      </c>
      <c r="C230" t="str">
        <f t="shared" si="3"/>
        <v>31-Dec-21</v>
      </c>
      <c r="D230" t="s">
        <v>21</v>
      </c>
      <c r="E230" t="s">
        <v>22</v>
      </c>
      <c r="F230" t="str">
        <f>"BDFWW61"</f>
        <v>BDFWW61</v>
      </c>
      <c r="G230" t="s">
        <v>257</v>
      </c>
      <c r="I230" t="s">
        <v>156</v>
      </c>
      <c r="J230">
        <v>0.137973404</v>
      </c>
      <c r="K230">
        <v>1900</v>
      </c>
      <c r="L230">
        <v>204355.32</v>
      </c>
      <c r="M230">
        <v>26307.43</v>
      </c>
      <c r="N230">
        <v>150.95</v>
      </c>
      <c r="O230">
        <v>286805</v>
      </c>
      <c r="P230">
        <v>39571.46</v>
      </c>
      <c r="Q230">
        <v>0</v>
      </c>
      <c r="R230">
        <v>0</v>
      </c>
      <c r="S230">
        <v>0.02</v>
      </c>
      <c r="T230" t="s">
        <v>25</v>
      </c>
    </row>
    <row r="231" spans="1:20" ht="15">
      <c r="A231" t="s">
        <v>19</v>
      </c>
      <c r="B231" t="s">
        <v>20</v>
      </c>
      <c r="C231" t="str">
        <f t="shared" si="3"/>
        <v>31-Dec-21</v>
      </c>
      <c r="D231" t="s">
        <v>21</v>
      </c>
      <c r="E231" t="s">
        <v>22</v>
      </c>
      <c r="F231" t="str">
        <f>"BD5C7G6"</f>
        <v>BD5C7G6</v>
      </c>
      <c r="G231" t="s">
        <v>258</v>
      </c>
      <c r="I231" t="s">
        <v>156</v>
      </c>
      <c r="J231">
        <v>0.137973404</v>
      </c>
      <c r="K231">
        <v>4551</v>
      </c>
      <c r="L231">
        <v>152478.42</v>
      </c>
      <c r="M231">
        <v>19395.18</v>
      </c>
      <c r="N231">
        <v>118.18</v>
      </c>
      <c r="O231">
        <v>537837.18</v>
      </c>
      <c r="P231">
        <v>74207.23</v>
      </c>
      <c r="Q231">
        <v>0</v>
      </c>
      <c r="R231">
        <v>0</v>
      </c>
      <c r="S231">
        <v>0.037</v>
      </c>
      <c r="T231" t="s">
        <v>25</v>
      </c>
    </row>
    <row r="232" spans="1:20" ht="15">
      <c r="A232" t="s">
        <v>19</v>
      </c>
      <c r="B232" t="s">
        <v>20</v>
      </c>
      <c r="C232" t="str">
        <f t="shared" si="3"/>
        <v>31-Dec-21</v>
      </c>
      <c r="D232" t="s">
        <v>21</v>
      </c>
      <c r="E232" t="s">
        <v>22</v>
      </c>
      <c r="F232" t="str">
        <f>"BZ0D1Y4"</f>
        <v>BZ0D1Y4</v>
      </c>
      <c r="G232" t="s">
        <v>259</v>
      </c>
      <c r="I232" t="s">
        <v>156</v>
      </c>
      <c r="J232">
        <v>0.137973404</v>
      </c>
      <c r="K232">
        <v>7900</v>
      </c>
      <c r="L232">
        <v>91574.28</v>
      </c>
      <c r="M232">
        <v>11629.77</v>
      </c>
      <c r="N232">
        <v>14.93</v>
      </c>
      <c r="O232">
        <v>117947</v>
      </c>
      <c r="P232">
        <v>16273.55</v>
      </c>
      <c r="Q232">
        <v>0</v>
      </c>
      <c r="R232">
        <v>0</v>
      </c>
      <c r="S232">
        <v>0.008</v>
      </c>
      <c r="T232" t="s">
        <v>25</v>
      </c>
    </row>
    <row r="233" spans="1:20" ht="15">
      <c r="A233" t="s">
        <v>19</v>
      </c>
      <c r="B233" t="s">
        <v>20</v>
      </c>
      <c r="C233" t="str">
        <f t="shared" si="3"/>
        <v>31-Dec-21</v>
      </c>
      <c r="D233" t="s">
        <v>21</v>
      </c>
      <c r="E233" t="s">
        <v>22</v>
      </c>
      <c r="F233" t="str">
        <f>"BP3R7V2"</f>
        <v>BP3R7V2</v>
      </c>
      <c r="G233" t="s">
        <v>260</v>
      </c>
      <c r="I233" t="s">
        <v>156</v>
      </c>
      <c r="J233">
        <v>0.137973404</v>
      </c>
      <c r="K233">
        <v>13600</v>
      </c>
      <c r="L233">
        <v>89279.83</v>
      </c>
      <c r="M233">
        <v>11277.9</v>
      </c>
      <c r="N233">
        <v>10.82</v>
      </c>
      <c r="O233">
        <v>147152</v>
      </c>
      <c r="P233">
        <v>20303.06</v>
      </c>
      <c r="Q233">
        <v>0</v>
      </c>
      <c r="R233">
        <v>0</v>
      </c>
      <c r="S233">
        <v>0.01</v>
      </c>
      <c r="T233" t="s">
        <v>25</v>
      </c>
    </row>
    <row r="234" spans="1:20" ht="15">
      <c r="A234" t="s">
        <v>19</v>
      </c>
      <c r="B234" t="s">
        <v>20</v>
      </c>
      <c r="C234" t="str">
        <f t="shared" si="3"/>
        <v>31-Dec-21</v>
      </c>
      <c r="D234" t="s">
        <v>21</v>
      </c>
      <c r="E234" t="s">
        <v>22</v>
      </c>
      <c r="F234" t="str">
        <f>"BD73MV7"</f>
        <v>BD73MV7</v>
      </c>
      <c r="G234" t="s">
        <v>261</v>
      </c>
      <c r="I234" t="s">
        <v>156</v>
      </c>
      <c r="J234">
        <v>0.137973404</v>
      </c>
      <c r="K234">
        <v>18900</v>
      </c>
      <c r="L234">
        <v>194032.04</v>
      </c>
      <c r="M234">
        <v>24732.45</v>
      </c>
      <c r="N234">
        <v>7.32</v>
      </c>
      <c r="O234">
        <v>138348</v>
      </c>
      <c r="P234">
        <v>19088.34</v>
      </c>
      <c r="Q234">
        <v>0</v>
      </c>
      <c r="R234">
        <v>0</v>
      </c>
      <c r="S234">
        <v>0.009</v>
      </c>
      <c r="T234" t="s">
        <v>25</v>
      </c>
    </row>
    <row r="235" spans="1:20" ht="15">
      <c r="A235" t="s">
        <v>19</v>
      </c>
      <c r="B235" t="s">
        <v>20</v>
      </c>
      <c r="C235" t="str">
        <f t="shared" si="3"/>
        <v>31-Dec-21</v>
      </c>
      <c r="D235" t="s">
        <v>21</v>
      </c>
      <c r="E235" t="s">
        <v>22</v>
      </c>
      <c r="F235" t="str">
        <f>"BD5CND5"</f>
        <v>BD5CND5</v>
      </c>
      <c r="G235" t="s">
        <v>262</v>
      </c>
      <c r="I235" t="s">
        <v>156</v>
      </c>
      <c r="J235">
        <v>0.137973404</v>
      </c>
      <c r="K235">
        <v>32300</v>
      </c>
      <c r="L235">
        <v>206727.42</v>
      </c>
      <c r="M235">
        <v>26434.54</v>
      </c>
      <c r="N235">
        <v>8.19</v>
      </c>
      <c r="O235">
        <v>264537</v>
      </c>
      <c r="P235">
        <v>36499.07</v>
      </c>
      <c r="Q235">
        <v>0</v>
      </c>
      <c r="R235">
        <v>0</v>
      </c>
      <c r="S235">
        <v>0.018</v>
      </c>
      <c r="T235" t="s">
        <v>25</v>
      </c>
    </row>
    <row r="236" spans="1:20" ht="15">
      <c r="A236" t="s">
        <v>19</v>
      </c>
      <c r="B236" t="s">
        <v>20</v>
      </c>
      <c r="C236" t="str">
        <f t="shared" si="3"/>
        <v>31-Dec-21</v>
      </c>
      <c r="D236" t="s">
        <v>21</v>
      </c>
      <c r="E236" t="s">
        <v>22</v>
      </c>
      <c r="F236" t="str">
        <f>"BTFRHX0"</f>
        <v>BTFRHX0</v>
      </c>
      <c r="G236" t="s">
        <v>263</v>
      </c>
      <c r="I236" t="s">
        <v>156</v>
      </c>
      <c r="J236">
        <v>0.137973404</v>
      </c>
      <c r="K236">
        <v>3556</v>
      </c>
      <c r="L236">
        <v>271285.8</v>
      </c>
      <c r="M236">
        <v>34607.95</v>
      </c>
      <c r="N236">
        <v>105.11</v>
      </c>
      <c r="O236">
        <v>373771.16</v>
      </c>
      <c r="P236">
        <v>51570.48</v>
      </c>
      <c r="Q236">
        <v>0</v>
      </c>
      <c r="R236">
        <v>0</v>
      </c>
      <c r="S236">
        <v>0.026</v>
      </c>
      <c r="T236" t="s">
        <v>25</v>
      </c>
    </row>
    <row r="237" spans="1:20" ht="15">
      <c r="A237" t="s">
        <v>19</v>
      </c>
      <c r="B237" t="s">
        <v>20</v>
      </c>
      <c r="C237" t="str">
        <f t="shared" si="3"/>
        <v>31-Dec-21</v>
      </c>
      <c r="D237" t="s">
        <v>21</v>
      </c>
      <c r="E237" t="s">
        <v>22</v>
      </c>
      <c r="F237" t="str">
        <f>"BP3R411"</f>
        <v>BP3R411</v>
      </c>
      <c r="G237" t="s">
        <v>264</v>
      </c>
      <c r="I237" t="s">
        <v>156</v>
      </c>
      <c r="J237">
        <v>0.137973404</v>
      </c>
      <c r="K237">
        <v>9500</v>
      </c>
      <c r="L237">
        <v>68944.47</v>
      </c>
      <c r="M237">
        <v>8830.81</v>
      </c>
      <c r="N237">
        <v>7.84</v>
      </c>
      <c r="O237">
        <v>74480</v>
      </c>
      <c r="P237">
        <v>10276.26</v>
      </c>
      <c r="Q237">
        <v>0</v>
      </c>
      <c r="R237">
        <v>0</v>
      </c>
      <c r="S237">
        <v>0.005</v>
      </c>
      <c r="T237" t="s">
        <v>25</v>
      </c>
    </row>
    <row r="238" spans="1:20" ht="15">
      <c r="A238" t="s">
        <v>19</v>
      </c>
      <c r="B238" t="s">
        <v>20</v>
      </c>
      <c r="C238" t="str">
        <f t="shared" si="3"/>
        <v>31-Dec-21</v>
      </c>
      <c r="D238" t="s">
        <v>21</v>
      </c>
      <c r="E238" t="s">
        <v>22</v>
      </c>
      <c r="F238" t="str">
        <f>"BG20N99"</f>
        <v>BG20N99</v>
      </c>
      <c r="G238" t="s">
        <v>265</v>
      </c>
      <c r="I238" t="s">
        <v>156</v>
      </c>
      <c r="J238">
        <v>0.137973404</v>
      </c>
      <c r="K238">
        <v>15800</v>
      </c>
      <c r="L238">
        <v>229172.94</v>
      </c>
      <c r="M238">
        <v>29353.81</v>
      </c>
      <c r="N238">
        <v>11.92</v>
      </c>
      <c r="O238">
        <v>188336</v>
      </c>
      <c r="P238">
        <v>25985.36</v>
      </c>
      <c r="Q238">
        <v>0</v>
      </c>
      <c r="R238">
        <v>0</v>
      </c>
      <c r="S238">
        <v>0.013</v>
      </c>
      <c r="T238" t="s">
        <v>25</v>
      </c>
    </row>
    <row r="239" spans="1:20" ht="15">
      <c r="A239" t="s">
        <v>19</v>
      </c>
      <c r="B239" t="s">
        <v>20</v>
      </c>
      <c r="C239" t="str">
        <f t="shared" si="3"/>
        <v>31-Dec-21</v>
      </c>
      <c r="D239" t="s">
        <v>21</v>
      </c>
      <c r="E239" t="s">
        <v>22</v>
      </c>
      <c r="F239" t="str">
        <f>"BMXWM11"</f>
        <v>BMXWM11</v>
      </c>
      <c r="G239" t="s">
        <v>266</v>
      </c>
      <c r="I239" t="s">
        <v>156</v>
      </c>
      <c r="J239">
        <v>0.137973404</v>
      </c>
      <c r="K239">
        <v>700</v>
      </c>
      <c r="L239">
        <v>142589.73</v>
      </c>
      <c r="M239">
        <v>18356.11</v>
      </c>
      <c r="N239">
        <v>170.78</v>
      </c>
      <c r="O239">
        <v>119546</v>
      </c>
      <c r="P239">
        <v>16494.17</v>
      </c>
      <c r="Q239">
        <v>0</v>
      </c>
      <c r="R239">
        <v>0</v>
      </c>
      <c r="S239">
        <v>0.008</v>
      </c>
      <c r="T239" t="s">
        <v>25</v>
      </c>
    </row>
    <row r="240" spans="1:20" ht="15">
      <c r="A240" t="s">
        <v>19</v>
      </c>
      <c r="B240" t="s">
        <v>20</v>
      </c>
      <c r="C240" t="str">
        <f t="shared" si="3"/>
        <v>31-Dec-21</v>
      </c>
      <c r="D240" t="s">
        <v>21</v>
      </c>
      <c r="E240" t="s">
        <v>22</v>
      </c>
      <c r="F240" t="str">
        <f>"BD5CHS8"</f>
        <v>BD5CHS8</v>
      </c>
      <c r="G240" t="s">
        <v>267</v>
      </c>
      <c r="I240" t="s">
        <v>156</v>
      </c>
      <c r="J240">
        <v>0.137973404</v>
      </c>
      <c r="K240">
        <v>4400</v>
      </c>
      <c r="L240">
        <v>116494.87</v>
      </c>
      <c r="M240">
        <v>14715.73</v>
      </c>
      <c r="N240">
        <v>24.17</v>
      </c>
      <c r="O240">
        <v>106348</v>
      </c>
      <c r="P240">
        <v>14673.2</v>
      </c>
      <c r="Q240">
        <v>0</v>
      </c>
      <c r="R240">
        <v>0</v>
      </c>
      <c r="S240">
        <v>0.007</v>
      </c>
      <c r="T240" t="s">
        <v>25</v>
      </c>
    </row>
    <row r="241" spans="1:20" ht="15">
      <c r="A241" t="s">
        <v>19</v>
      </c>
      <c r="B241" t="s">
        <v>20</v>
      </c>
      <c r="C241" t="str">
        <f t="shared" si="3"/>
        <v>31-Dec-21</v>
      </c>
      <c r="D241" t="s">
        <v>21</v>
      </c>
      <c r="E241" t="s">
        <v>22</v>
      </c>
      <c r="F241" t="str">
        <f>"BP3R6K4"</f>
        <v>BP3R6K4</v>
      </c>
      <c r="G241" t="s">
        <v>268</v>
      </c>
      <c r="I241" t="s">
        <v>156</v>
      </c>
      <c r="J241">
        <v>0.137973404</v>
      </c>
      <c r="K241">
        <v>6900</v>
      </c>
      <c r="L241">
        <v>237611.98</v>
      </c>
      <c r="M241">
        <v>30465.25</v>
      </c>
      <c r="N241">
        <v>47.14</v>
      </c>
      <c r="O241">
        <v>325266</v>
      </c>
      <c r="P241">
        <v>44878.06</v>
      </c>
      <c r="Q241">
        <v>0</v>
      </c>
      <c r="R241">
        <v>0</v>
      </c>
      <c r="S241">
        <v>0.022</v>
      </c>
      <c r="T241" t="s">
        <v>25</v>
      </c>
    </row>
    <row r="242" spans="1:20" ht="15">
      <c r="A242" t="s">
        <v>19</v>
      </c>
      <c r="B242" t="s">
        <v>20</v>
      </c>
      <c r="C242" t="str">
        <f t="shared" si="3"/>
        <v>31-Dec-21</v>
      </c>
      <c r="D242" t="s">
        <v>21</v>
      </c>
      <c r="E242" t="s">
        <v>22</v>
      </c>
      <c r="F242" t="str">
        <f>"BYZQW37"</f>
        <v>BYZQW37</v>
      </c>
      <c r="G242" t="s">
        <v>269</v>
      </c>
      <c r="I242" t="s">
        <v>156</v>
      </c>
      <c r="J242">
        <v>0.137973404</v>
      </c>
      <c r="K242">
        <v>200</v>
      </c>
      <c r="L242">
        <v>90835.26</v>
      </c>
      <c r="M242">
        <v>11474.38</v>
      </c>
      <c r="N242">
        <v>421.85</v>
      </c>
      <c r="O242">
        <v>84370</v>
      </c>
      <c r="P242">
        <v>11640.82</v>
      </c>
      <c r="Q242">
        <v>0</v>
      </c>
      <c r="R242">
        <v>0</v>
      </c>
      <c r="S242">
        <v>0.006</v>
      </c>
      <c r="T242" t="s">
        <v>25</v>
      </c>
    </row>
    <row r="243" spans="1:20" ht="15">
      <c r="A243" t="s">
        <v>19</v>
      </c>
      <c r="B243" t="s">
        <v>20</v>
      </c>
      <c r="C243" t="str">
        <f t="shared" si="3"/>
        <v>31-Dec-21</v>
      </c>
      <c r="D243" t="s">
        <v>21</v>
      </c>
      <c r="E243" t="s">
        <v>22</v>
      </c>
      <c r="F243" t="str">
        <f>"BD6QVT8"</f>
        <v>BD6QVT8</v>
      </c>
      <c r="G243" t="s">
        <v>270</v>
      </c>
      <c r="I243" t="s">
        <v>156</v>
      </c>
      <c r="J243">
        <v>0.137973404</v>
      </c>
      <c r="K243">
        <v>19100</v>
      </c>
      <c r="L243">
        <v>78931.02</v>
      </c>
      <c r="M243">
        <v>10038.78</v>
      </c>
      <c r="N243">
        <v>3.8</v>
      </c>
      <c r="O243">
        <v>72580</v>
      </c>
      <c r="P243">
        <v>10014.11</v>
      </c>
      <c r="Q243">
        <v>0</v>
      </c>
      <c r="R243">
        <v>0</v>
      </c>
      <c r="S243">
        <v>0.005</v>
      </c>
      <c r="T243" t="s">
        <v>25</v>
      </c>
    </row>
    <row r="244" spans="1:20" ht="15">
      <c r="A244" t="s">
        <v>19</v>
      </c>
      <c r="B244" t="s">
        <v>20</v>
      </c>
      <c r="C244" t="str">
        <f t="shared" si="3"/>
        <v>31-Dec-21</v>
      </c>
      <c r="D244" t="s">
        <v>21</v>
      </c>
      <c r="E244" t="s">
        <v>22</v>
      </c>
      <c r="F244" t="str">
        <f>"BD5CFW8"</f>
        <v>BD5CFW8</v>
      </c>
      <c r="G244" t="s">
        <v>271</v>
      </c>
      <c r="I244" t="s">
        <v>156</v>
      </c>
      <c r="J244">
        <v>0.137973404</v>
      </c>
      <c r="K244">
        <v>21500</v>
      </c>
      <c r="L244">
        <v>105629.25</v>
      </c>
      <c r="M244">
        <v>13438.98</v>
      </c>
      <c r="N244">
        <v>10.35</v>
      </c>
      <c r="O244">
        <v>222525</v>
      </c>
      <c r="P244">
        <v>30702.53</v>
      </c>
      <c r="Q244">
        <v>0</v>
      </c>
      <c r="R244">
        <v>0</v>
      </c>
      <c r="S244">
        <v>0.015</v>
      </c>
      <c r="T244" t="s">
        <v>25</v>
      </c>
    </row>
    <row r="245" spans="1:20" ht="15">
      <c r="A245" t="s">
        <v>19</v>
      </c>
      <c r="B245" t="s">
        <v>20</v>
      </c>
      <c r="C245" t="str">
        <f t="shared" si="3"/>
        <v>31-Dec-21</v>
      </c>
      <c r="D245" t="s">
        <v>21</v>
      </c>
      <c r="E245" t="s">
        <v>22</v>
      </c>
      <c r="F245" t="str">
        <f>"BD5CQ36"</f>
        <v>BD5CQ36</v>
      </c>
      <c r="G245" t="s">
        <v>272</v>
      </c>
      <c r="I245" t="s">
        <v>156</v>
      </c>
      <c r="J245">
        <v>0.137973404</v>
      </c>
      <c r="K245">
        <v>13000</v>
      </c>
      <c r="L245">
        <v>193732.43</v>
      </c>
      <c r="M245">
        <v>24770.6</v>
      </c>
      <c r="N245">
        <v>24.59</v>
      </c>
      <c r="O245">
        <v>319670</v>
      </c>
      <c r="P245">
        <v>44105.96</v>
      </c>
      <c r="Q245">
        <v>0</v>
      </c>
      <c r="R245">
        <v>0</v>
      </c>
      <c r="S245">
        <v>0.022</v>
      </c>
      <c r="T245" t="s">
        <v>25</v>
      </c>
    </row>
    <row r="246" spans="1:20" ht="15">
      <c r="A246" t="s">
        <v>19</v>
      </c>
      <c r="B246" t="s">
        <v>20</v>
      </c>
      <c r="C246" t="str">
        <f t="shared" si="3"/>
        <v>31-Dec-21</v>
      </c>
      <c r="D246" t="s">
        <v>21</v>
      </c>
      <c r="E246" t="s">
        <v>22</v>
      </c>
      <c r="F246" t="str">
        <f>"BD5CLH5"</f>
        <v>BD5CLH5</v>
      </c>
      <c r="G246" t="s">
        <v>273</v>
      </c>
      <c r="I246" t="s">
        <v>156</v>
      </c>
      <c r="J246">
        <v>0.137973404</v>
      </c>
      <c r="K246">
        <v>16200</v>
      </c>
      <c r="L246">
        <v>198898.24</v>
      </c>
      <c r="M246">
        <v>25124.99</v>
      </c>
      <c r="N246">
        <v>11.9</v>
      </c>
      <c r="O246">
        <v>192780</v>
      </c>
      <c r="P246">
        <v>26598.51</v>
      </c>
      <c r="Q246">
        <v>0</v>
      </c>
      <c r="R246">
        <v>0</v>
      </c>
      <c r="S246">
        <v>0.013</v>
      </c>
      <c r="T246" t="s">
        <v>25</v>
      </c>
    </row>
    <row r="247" spans="1:20" ht="15">
      <c r="A247" t="s">
        <v>19</v>
      </c>
      <c r="B247" t="s">
        <v>20</v>
      </c>
      <c r="C247" t="str">
        <f t="shared" si="3"/>
        <v>31-Dec-21</v>
      </c>
      <c r="D247" t="s">
        <v>21</v>
      </c>
      <c r="E247" t="s">
        <v>22</v>
      </c>
      <c r="F247" t="str">
        <f>"BD5CB19"</f>
        <v>BD5CB19</v>
      </c>
      <c r="G247" t="s">
        <v>274</v>
      </c>
      <c r="I247" t="s">
        <v>156</v>
      </c>
      <c r="J247">
        <v>0.137973404</v>
      </c>
      <c r="K247">
        <v>3100</v>
      </c>
      <c r="L247">
        <v>129028.02</v>
      </c>
      <c r="M247">
        <v>16807.81</v>
      </c>
      <c r="N247">
        <v>142.85</v>
      </c>
      <c r="O247">
        <v>442835</v>
      </c>
      <c r="P247">
        <v>61099.45</v>
      </c>
      <c r="Q247">
        <v>0</v>
      </c>
      <c r="R247">
        <v>0</v>
      </c>
      <c r="S247">
        <v>0.03</v>
      </c>
      <c r="T247" t="s">
        <v>25</v>
      </c>
    </row>
    <row r="248" spans="1:20" ht="15">
      <c r="A248" t="s">
        <v>19</v>
      </c>
      <c r="B248" t="s">
        <v>20</v>
      </c>
      <c r="C248" t="str">
        <f t="shared" si="3"/>
        <v>31-Dec-21</v>
      </c>
      <c r="D248" t="s">
        <v>21</v>
      </c>
      <c r="E248" t="s">
        <v>22</v>
      </c>
      <c r="F248" t="str">
        <f>"BP3R3Q9"</f>
        <v>BP3R3Q9</v>
      </c>
      <c r="G248" t="s">
        <v>275</v>
      </c>
      <c r="I248" t="s">
        <v>156</v>
      </c>
      <c r="J248">
        <v>0.137973404</v>
      </c>
      <c r="K248">
        <v>18100</v>
      </c>
      <c r="L248">
        <v>218355.81</v>
      </c>
      <c r="M248">
        <v>27968.29</v>
      </c>
      <c r="N248">
        <v>12.97</v>
      </c>
      <c r="O248">
        <v>234757</v>
      </c>
      <c r="P248">
        <v>32390.22</v>
      </c>
      <c r="Q248">
        <v>0</v>
      </c>
      <c r="R248">
        <v>0</v>
      </c>
      <c r="S248">
        <v>0.016</v>
      </c>
      <c r="T248" t="s">
        <v>25</v>
      </c>
    </row>
    <row r="249" spans="1:20" ht="15">
      <c r="A249" t="s">
        <v>19</v>
      </c>
      <c r="B249" t="s">
        <v>20</v>
      </c>
      <c r="C249" t="str">
        <f t="shared" si="3"/>
        <v>31-Dec-21</v>
      </c>
      <c r="D249" t="s">
        <v>21</v>
      </c>
      <c r="E249" t="s">
        <v>22</v>
      </c>
      <c r="F249" t="str">
        <f>"BHWLWF8"</f>
        <v>BHWLWF8</v>
      </c>
      <c r="G249" t="s">
        <v>276</v>
      </c>
      <c r="I249" t="s">
        <v>156</v>
      </c>
      <c r="J249">
        <v>0.137973404</v>
      </c>
      <c r="K249">
        <v>1348</v>
      </c>
      <c r="L249">
        <v>109036.53</v>
      </c>
      <c r="M249">
        <v>13967.83</v>
      </c>
      <c r="N249">
        <v>175.85</v>
      </c>
      <c r="O249">
        <v>237045.8</v>
      </c>
      <c r="P249">
        <v>32706.02</v>
      </c>
      <c r="Q249">
        <v>0</v>
      </c>
      <c r="R249">
        <v>0</v>
      </c>
      <c r="S249">
        <v>0.016</v>
      </c>
      <c r="T249" t="s">
        <v>25</v>
      </c>
    </row>
    <row r="250" spans="1:20" ht="15">
      <c r="A250" t="s">
        <v>19</v>
      </c>
      <c r="B250" t="s">
        <v>20</v>
      </c>
      <c r="C250" t="str">
        <f t="shared" si="3"/>
        <v>31-Dec-21</v>
      </c>
      <c r="D250" t="s">
        <v>21</v>
      </c>
      <c r="E250" t="s">
        <v>22</v>
      </c>
      <c r="F250" t="str">
        <f>"BD5CNT1"</f>
        <v>BD5CNT1</v>
      </c>
      <c r="G250" t="s">
        <v>277</v>
      </c>
      <c r="I250" t="s">
        <v>156</v>
      </c>
      <c r="J250">
        <v>0.137973404</v>
      </c>
      <c r="K250">
        <v>8100</v>
      </c>
      <c r="L250">
        <v>136136.18</v>
      </c>
      <c r="M250">
        <v>17437.12</v>
      </c>
      <c r="N250">
        <v>54.1</v>
      </c>
      <c r="O250">
        <v>438210</v>
      </c>
      <c r="P250">
        <v>60461.33</v>
      </c>
      <c r="Q250">
        <v>0</v>
      </c>
      <c r="R250">
        <v>0</v>
      </c>
      <c r="S250">
        <v>0.03</v>
      </c>
      <c r="T250" t="s">
        <v>25</v>
      </c>
    </row>
    <row r="251" spans="1:20" ht="15">
      <c r="A251" t="s">
        <v>19</v>
      </c>
      <c r="B251" t="s">
        <v>20</v>
      </c>
      <c r="C251" t="str">
        <f t="shared" si="3"/>
        <v>31-Dec-21</v>
      </c>
      <c r="D251" t="s">
        <v>21</v>
      </c>
      <c r="E251" t="s">
        <v>22</v>
      </c>
      <c r="F251" t="str">
        <f>"BL58M87"</f>
        <v>BL58M87</v>
      </c>
      <c r="G251" t="s">
        <v>278</v>
      </c>
      <c r="I251" t="s">
        <v>156</v>
      </c>
      <c r="J251">
        <v>0.137973404</v>
      </c>
      <c r="K251">
        <v>700</v>
      </c>
      <c r="L251">
        <v>121874.14</v>
      </c>
      <c r="M251">
        <v>15689.32</v>
      </c>
      <c r="N251">
        <v>167.3</v>
      </c>
      <c r="O251">
        <v>117110</v>
      </c>
      <c r="P251">
        <v>16158.07</v>
      </c>
      <c r="Q251">
        <v>0</v>
      </c>
      <c r="R251">
        <v>0</v>
      </c>
      <c r="S251">
        <v>0.008</v>
      </c>
      <c r="T251" t="s">
        <v>25</v>
      </c>
    </row>
    <row r="252" spans="1:20" ht="15">
      <c r="A252" t="s">
        <v>19</v>
      </c>
      <c r="B252" t="s">
        <v>20</v>
      </c>
      <c r="C252" t="str">
        <f t="shared" si="3"/>
        <v>31-Dec-21</v>
      </c>
      <c r="D252" t="s">
        <v>21</v>
      </c>
      <c r="E252" t="s">
        <v>22</v>
      </c>
      <c r="F252" t="str">
        <f>"BD5CJ71"</f>
        <v>BD5CJ71</v>
      </c>
      <c r="G252" t="s">
        <v>279</v>
      </c>
      <c r="I252" t="s">
        <v>156</v>
      </c>
      <c r="J252">
        <v>0.137973404</v>
      </c>
      <c r="K252">
        <v>3800</v>
      </c>
      <c r="L252">
        <v>109594.45</v>
      </c>
      <c r="M252">
        <v>13844.06</v>
      </c>
      <c r="N252">
        <v>51.25</v>
      </c>
      <c r="O252">
        <v>194750</v>
      </c>
      <c r="P252">
        <v>26870.32</v>
      </c>
      <c r="Q252">
        <v>0</v>
      </c>
      <c r="R252">
        <v>0</v>
      </c>
      <c r="S252">
        <v>0.013</v>
      </c>
      <c r="T252" t="s">
        <v>25</v>
      </c>
    </row>
    <row r="253" spans="1:20" ht="15">
      <c r="A253" t="s">
        <v>19</v>
      </c>
      <c r="B253" t="s">
        <v>20</v>
      </c>
      <c r="C253" t="str">
        <f t="shared" si="3"/>
        <v>31-Dec-21</v>
      </c>
      <c r="D253" t="s">
        <v>21</v>
      </c>
      <c r="E253" t="s">
        <v>22</v>
      </c>
      <c r="F253" t="str">
        <f>"BP3R325"</f>
        <v>BP3R325</v>
      </c>
      <c r="G253" t="s">
        <v>280</v>
      </c>
      <c r="I253" t="s">
        <v>156</v>
      </c>
      <c r="J253">
        <v>0.137973404</v>
      </c>
      <c r="K253">
        <v>4600</v>
      </c>
      <c r="L253">
        <v>37852.05</v>
      </c>
      <c r="M253">
        <v>4781.5</v>
      </c>
      <c r="N253">
        <v>48.54</v>
      </c>
      <c r="O253">
        <v>223284</v>
      </c>
      <c r="P253">
        <v>30807.25</v>
      </c>
      <c r="Q253">
        <v>0</v>
      </c>
      <c r="R253">
        <v>0</v>
      </c>
      <c r="S253">
        <v>0.015</v>
      </c>
      <c r="T253" t="s">
        <v>25</v>
      </c>
    </row>
    <row r="254" spans="1:20" ht="15">
      <c r="A254" t="s">
        <v>19</v>
      </c>
      <c r="B254" t="s">
        <v>20</v>
      </c>
      <c r="C254" t="str">
        <f t="shared" si="3"/>
        <v>31-Dec-21</v>
      </c>
      <c r="D254" t="s">
        <v>21</v>
      </c>
      <c r="E254" t="s">
        <v>22</v>
      </c>
      <c r="F254" t="str">
        <f>"BZ3F5X4"</f>
        <v>BZ3F5X4</v>
      </c>
      <c r="G254" t="s">
        <v>281</v>
      </c>
      <c r="I254" t="s">
        <v>156</v>
      </c>
      <c r="J254">
        <v>0.137973404</v>
      </c>
      <c r="K254">
        <v>14490</v>
      </c>
      <c r="L254">
        <v>90066.76</v>
      </c>
      <c r="M254">
        <v>11660.24</v>
      </c>
      <c r="N254">
        <v>4.34</v>
      </c>
      <c r="O254">
        <v>62886.6</v>
      </c>
      <c r="P254">
        <v>8676.68</v>
      </c>
      <c r="Q254">
        <v>0</v>
      </c>
      <c r="R254">
        <v>0</v>
      </c>
      <c r="S254">
        <v>0.004</v>
      </c>
      <c r="T254" t="s">
        <v>25</v>
      </c>
    </row>
    <row r="255" spans="1:20" ht="15">
      <c r="A255" t="s">
        <v>19</v>
      </c>
      <c r="B255" t="s">
        <v>20</v>
      </c>
      <c r="C255" t="str">
        <f t="shared" si="3"/>
        <v>31-Dec-21</v>
      </c>
      <c r="D255" t="s">
        <v>21</v>
      </c>
      <c r="E255" t="s">
        <v>22</v>
      </c>
      <c r="F255" t="str">
        <f>"BD5CJ60"</f>
        <v>BD5CJ60</v>
      </c>
      <c r="G255" t="s">
        <v>282</v>
      </c>
      <c r="I255" t="s">
        <v>156</v>
      </c>
      <c r="J255">
        <v>0.137973404</v>
      </c>
      <c r="K255">
        <v>3500</v>
      </c>
      <c r="L255">
        <v>117670.63</v>
      </c>
      <c r="M255">
        <v>15071.94</v>
      </c>
      <c r="N255">
        <v>73.3</v>
      </c>
      <c r="O255">
        <v>256550</v>
      </c>
      <c r="P255">
        <v>35397.08</v>
      </c>
      <c r="Q255">
        <v>0</v>
      </c>
      <c r="R255">
        <v>0</v>
      </c>
      <c r="S255">
        <v>0.018</v>
      </c>
      <c r="T255" t="s">
        <v>25</v>
      </c>
    </row>
    <row r="256" spans="1:20" ht="15">
      <c r="A256" t="s">
        <v>19</v>
      </c>
      <c r="B256" t="s">
        <v>20</v>
      </c>
      <c r="C256" t="str">
        <f t="shared" si="3"/>
        <v>31-Dec-21</v>
      </c>
      <c r="D256" t="s">
        <v>21</v>
      </c>
      <c r="E256" t="s">
        <v>22</v>
      </c>
      <c r="F256" t="str">
        <f>"BD73MS4"</f>
        <v>BD73MS4</v>
      </c>
      <c r="G256" t="s">
        <v>283</v>
      </c>
      <c r="I256" t="s">
        <v>156</v>
      </c>
      <c r="J256">
        <v>0.137973404</v>
      </c>
      <c r="K256">
        <v>1100</v>
      </c>
      <c r="L256">
        <v>149085.7</v>
      </c>
      <c r="M256">
        <v>19003.33</v>
      </c>
      <c r="N256">
        <v>181.59</v>
      </c>
      <c r="O256">
        <v>199749</v>
      </c>
      <c r="P256">
        <v>27560.05</v>
      </c>
      <c r="Q256">
        <v>0</v>
      </c>
      <c r="R256">
        <v>0</v>
      </c>
      <c r="S256">
        <v>0.014</v>
      </c>
      <c r="T256" t="s">
        <v>25</v>
      </c>
    </row>
    <row r="257" spans="1:20" ht="15">
      <c r="A257" t="s">
        <v>19</v>
      </c>
      <c r="B257" t="s">
        <v>20</v>
      </c>
      <c r="C257" t="str">
        <f t="shared" si="3"/>
        <v>31-Dec-21</v>
      </c>
      <c r="D257" t="s">
        <v>21</v>
      </c>
      <c r="E257" t="s">
        <v>22</v>
      </c>
      <c r="F257" t="str">
        <f>"BHRV3N8"</f>
        <v>BHRV3N8</v>
      </c>
      <c r="G257" t="s">
        <v>284</v>
      </c>
      <c r="I257" t="s">
        <v>156</v>
      </c>
      <c r="J257">
        <v>0.137973404</v>
      </c>
      <c r="K257">
        <v>3600</v>
      </c>
      <c r="L257">
        <v>175606.83</v>
      </c>
      <c r="M257">
        <v>22383.87</v>
      </c>
      <c r="N257">
        <v>24.7</v>
      </c>
      <c r="O257">
        <v>88920</v>
      </c>
      <c r="P257">
        <v>12268.6</v>
      </c>
      <c r="Q257">
        <v>0</v>
      </c>
      <c r="R257">
        <v>0</v>
      </c>
      <c r="S257">
        <v>0.006</v>
      </c>
      <c r="T257" t="s">
        <v>25</v>
      </c>
    </row>
    <row r="258" spans="1:20" ht="15">
      <c r="A258" t="s">
        <v>19</v>
      </c>
      <c r="B258" t="s">
        <v>20</v>
      </c>
      <c r="C258" t="str">
        <f aca="true" t="shared" si="4" ref="C258:C321">"31-Dec-21"</f>
        <v>31-Dec-21</v>
      </c>
      <c r="D258" t="s">
        <v>21</v>
      </c>
      <c r="E258" t="s">
        <v>22</v>
      </c>
      <c r="F258" t="str">
        <f>"BP3R4Q6"</f>
        <v>BP3R4Q6</v>
      </c>
      <c r="G258" t="s">
        <v>285</v>
      </c>
      <c r="I258" t="s">
        <v>156</v>
      </c>
      <c r="J258">
        <v>0.137973404</v>
      </c>
      <c r="K258">
        <v>5900</v>
      </c>
      <c r="L258">
        <v>207417.01</v>
      </c>
      <c r="M258">
        <v>26570.6</v>
      </c>
      <c r="N258">
        <v>34.2</v>
      </c>
      <c r="O258">
        <v>201780</v>
      </c>
      <c r="P258">
        <v>27840.27</v>
      </c>
      <c r="Q258">
        <v>0</v>
      </c>
      <c r="R258">
        <v>0</v>
      </c>
      <c r="S258">
        <v>0.014</v>
      </c>
      <c r="T258" t="s">
        <v>25</v>
      </c>
    </row>
    <row r="259" spans="1:20" ht="15">
      <c r="A259" t="s">
        <v>19</v>
      </c>
      <c r="B259" t="s">
        <v>20</v>
      </c>
      <c r="C259" t="str">
        <f t="shared" si="4"/>
        <v>31-Dec-21</v>
      </c>
      <c r="D259" t="s">
        <v>21</v>
      </c>
      <c r="E259" t="s">
        <v>22</v>
      </c>
      <c r="F259" t="str">
        <f>"BD5CM72"</f>
        <v>BD5CM72</v>
      </c>
      <c r="G259" t="s">
        <v>286</v>
      </c>
      <c r="I259" t="s">
        <v>156</v>
      </c>
      <c r="J259">
        <v>0.137973404</v>
      </c>
      <c r="K259">
        <v>15900</v>
      </c>
      <c r="L259">
        <v>201893.83</v>
      </c>
      <c r="M259">
        <v>25447.92</v>
      </c>
      <c r="N259">
        <v>10.92</v>
      </c>
      <c r="O259">
        <v>173628</v>
      </c>
      <c r="P259">
        <v>23956.05</v>
      </c>
      <c r="Q259">
        <v>0</v>
      </c>
      <c r="R259">
        <v>0</v>
      </c>
      <c r="S259">
        <v>0.012</v>
      </c>
      <c r="T259" t="s">
        <v>25</v>
      </c>
    </row>
    <row r="260" spans="1:20" ht="15">
      <c r="A260" t="s">
        <v>19</v>
      </c>
      <c r="B260" t="s">
        <v>20</v>
      </c>
      <c r="C260" t="str">
        <f t="shared" si="4"/>
        <v>31-Dec-21</v>
      </c>
      <c r="D260" t="s">
        <v>21</v>
      </c>
      <c r="E260" t="s">
        <v>22</v>
      </c>
      <c r="F260" t="str">
        <f>"BFYX689"</f>
        <v>BFYX689</v>
      </c>
      <c r="G260" t="s">
        <v>287</v>
      </c>
      <c r="I260" t="s">
        <v>156</v>
      </c>
      <c r="J260">
        <v>0.137973404</v>
      </c>
      <c r="K260">
        <v>700</v>
      </c>
      <c r="L260">
        <v>64039.82</v>
      </c>
      <c r="M260">
        <v>7805.17</v>
      </c>
      <c r="N260">
        <v>111.37</v>
      </c>
      <c r="O260">
        <v>77959</v>
      </c>
      <c r="P260">
        <v>10756.27</v>
      </c>
      <c r="Q260">
        <v>0</v>
      </c>
      <c r="R260">
        <v>0</v>
      </c>
      <c r="S260">
        <v>0.005</v>
      </c>
      <c r="T260" t="s">
        <v>25</v>
      </c>
    </row>
    <row r="261" spans="1:20" ht="15">
      <c r="A261" t="s">
        <v>19</v>
      </c>
      <c r="B261" t="s">
        <v>20</v>
      </c>
      <c r="C261" t="str">
        <f t="shared" si="4"/>
        <v>31-Dec-21</v>
      </c>
      <c r="D261" t="s">
        <v>21</v>
      </c>
      <c r="E261" t="s">
        <v>22</v>
      </c>
      <c r="F261" t="str">
        <f>"BFCCR41"</f>
        <v>BFCCR41</v>
      </c>
      <c r="G261" t="s">
        <v>288</v>
      </c>
      <c r="I261" t="s">
        <v>156</v>
      </c>
      <c r="J261">
        <v>0.137973404</v>
      </c>
      <c r="K261">
        <v>1100</v>
      </c>
      <c r="L261">
        <v>114458.63</v>
      </c>
      <c r="M261">
        <v>14589.56</v>
      </c>
      <c r="N261">
        <v>81.4</v>
      </c>
      <c r="O261">
        <v>89540</v>
      </c>
      <c r="P261">
        <v>12354.14</v>
      </c>
      <c r="Q261">
        <v>0</v>
      </c>
      <c r="R261">
        <v>0</v>
      </c>
      <c r="S261">
        <v>0.006</v>
      </c>
      <c r="T261" t="s">
        <v>25</v>
      </c>
    </row>
    <row r="262" spans="1:20" ht="15">
      <c r="A262" t="s">
        <v>19</v>
      </c>
      <c r="B262" t="s">
        <v>20</v>
      </c>
      <c r="C262" t="str">
        <f t="shared" si="4"/>
        <v>31-Dec-21</v>
      </c>
      <c r="D262" t="s">
        <v>21</v>
      </c>
      <c r="E262" t="s">
        <v>22</v>
      </c>
      <c r="F262" t="str">
        <f>"BD5LR63"</f>
        <v>BD5LR63</v>
      </c>
      <c r="G262" t="s">
        <v>289</v>
      </c>
      <c r="I262" t="s">
        <v>156</v>
      </c>
      <c r="J262">
        <v>0.137973404</v>
      </c>
      <c r="K262">
        <v>2480</v>
      </c>
      <c r="L262">
        <v>92604.1</v>
      </c>
      <c r="M262">
        <v>11803.86</v>
      </c>
      <c r="N262">
        <v>114.65</v>
      </c>
      <c r="O262">
        <v>284332</v>
      </c>
      <c r="P262">
        <v>39230.25</v>
      </c>
      <c r="Q262">
        <v>0</v>
      </c>
      <c r="R262">
        <v>0</v>
      </c>
      <c r="S262">
        <v>0.019</v>
      </c>
      <c r="T262" t="s">
        <v>25</v>
      </c>
    </row>
    <row r="263" spans="1:20" ht="15">
      <c r="A263" t="s">
        <v>19</v>
      </c>
      <c r="B263" t="s">
        <v>20</v>
      </c>
      <c r="C263" t="str">
        <f t="shared" si="4"/>
        <v>31-Dec-21</v>
      </c>
      <c r="D263" t="s">
        <v>21</v>
      </c>
      <c r="E263" t="s">
        <v>22</v>
      </c>
      <c r="F263" t="str">
        <f>"BFY8GZ1"</f>
        <v>BFY8GZ1</v>
      </c>
      <c r="G263" t="s">
        <v>290</v>
      </c>
      <c r="I263" t="s">
        <v>156</v>
      </c>
      <c r="J263">
        <v>0.137973404</v>
      </c>
      <c r="K263">
        <v>1690</v>
      </c>
      <c r="L263">
        <v>97884.54</v>
      </c>
      <c r="M263">
        <v>12476.93</v>
      </c>
      <c r="N263">
        <v>39.38</v>
      </c>
      <c r="O263">
        <v>66552.2</v>
      </c>
      <c r="P263">
        <v>9182.43</v>
      </c>
      <c r="Q263">
        <v>0</v>
      </c>
      <c r="R263">
        <v>0</v>
      </c>
      <c r="S263">
        <v>0.005</v>
      </c>
      <c r="T263" t="s">
        <v>25</v>
      </c>
    </row>
    <row r="264" spans="1:20" ht="15">
      <c r="A264" t="s">
        <v>19</v>
      </c>
      <c r="B264" t="s">
        <v>20</v>
      </c>
      <c r="C264" t="str">
        <f t="shared" si="4"/>
        <v>31-Dec-21</v>
      </c>
      <c r="D264" t="s">
        <v>21</v>
      </c>
      <c r="E264" t="s">
        <v>22</v>
      </c>
      <c r="F264" t="str">
        <f>"BD5CPR3"</f>
        <v>BD5CPR3</v>
      </c>
      <c r="G264" t="s">
        <v>291</v>
      </c>
      <c r="I264" t="s">
        <v>156</v>
      </c>
      <c r="J264">
        <v>0.137973404</v>
      </c>
      <c r="K264">
        <v>17700</v>
      </c>
      <c r="L264">
        <v>223714.48</v>
      </c>
      <c r="M264">
        <v>28654.66</v>
      </c>
      <c r="N264">
        <v>11.48</v>
      </c>
      <c r="O264">
        <v>203196</v>
      </c>
      <c r="P264">
        <v>28035.64</v>
      </c>
      <c r="Q264">
        <v>0</v>
      </c>
      <c r="R264">
        <v>0</v>
      </c>
      <c r="S264">
        <v>0.014</v>
      </c>
      <c r="T264" t="s">
        <v>25</v>
      </c>
    </row>
    <row r="265" spans="1:20" ht="15">
      <c r="A265" t="s">
        <v>19</v>
      </c>
      <c r="B265" t="s">
        <v>20</v>
      </c>
      <c r="C265" t="str">
        <f t="shared" si="4"/>
        <v>31-Dec-21</v>
      </c>
      <c r="D265" t="s">
        <v>21</v>
      </c>
      <c r="E265" t="s">
        <v>22</v>
      </c>
      <c r="F265" t="str">
        <f>"BD73MH3"</f>
        <v>BD73MH3</v>
      </c>
      <c r="G265" t="s">
        <v>292</v>
      </c>
      <c r="I265" t="s">
        <v>156</v>
      </c>
      <c r="J265">
        <v>0.137973404</v>
      </c>
      <c r="K265">
        <v>7300</v>
      </c>
      <c r="L265">
        <v>85681.12</v>
      </c>
      <c r="M265">
        <v>10897.28</v>
      </c>
      <c r="N265">
        <v>9.6</v>
      </c>
      <c r="O265">
        <v>70080</v>
      </c>
      <c r="P265">
        <v>9669.18</v>
      </c>
      <c r="Q265">
        <v>0</v>
      </c>
      <c r="R265">
        <v>0</v>
      </c>
      <c r="S265">
        <v>0.005</v>
      </c>
      <c r="T265" t="s">
        <v>25</v>
      </c>
    </row>
    <row r="266" spans="1:20" ht="15">
      <c r="A266" t="s">
        <v>19</v>
      </c>
      <c r="B266" t="s">
        <v>20</v>
      </c>
      <c r="C266" t="str">
        <f t="shared" si="4"/>
        <v>31-Dec-21</v>
      </c>
      <c r="D266" t="s">
        <v>21</v>
      </c>
      <c r="E266" t="s">
        <v>22</v>
      </c>
      <c r="F266" t="str">
        <f>"BYQDMZ9"</f>
        <v>BYQDMZ9</v>
      </c>
      <c r="G266" t="s">
        <v>293</v>
      </c>
      <c r="I266" t="s">
        <v>156</v>
      </c>
      <c r="J266">
        <v>0.137973404</v>
      </c>
      <c r="K266">
        <v>16300</v>
      </c>
      <c r="L266">
        <v>289027.49</v>
      </c>
      <c r="M266">
        <v>36829.81</v>
      </c>
      <c r="N266">
        <v>17.89</v>
      </c>
      <c r="O266">
        <v>291607</v>
      </c>
      <c r="P266">
        <v>40234.01</v>
      </c>
      <c r="Q266">
        <v>0</v>
      </c>
      <c r="R266">
        <v>0</v>
      </c>
      <c r="S266">
        <v>0.02</v>
      </c>
      <c r="T266" t="s">
        <v>25</v>
      </c>
    </row>
    <row r="267" spans="1:20" ht="15">
      <c r="A267" t="s">
        <v>19</v>
      </c>
      <c r="B267" t="s">
        <v>20</v>
      </c>
      <c r="C267" t="str">
        <f t="shared" si="4"/>
        <v>31-Dec-21</v>
      </c>
      <c r="D267" t="s">
        <v>21</v>
      </c>
      <c r="E267" t="s">
        <v>22</v>
      </c>
      <c r="F267" t="str">
        <f>"BP3R3G9"</f>
        <v>BP3R3G9</v>
      </c>
      <c r="G267" t="s">
        <v>294</v>
      </c>
      <c r="I267" t="s">
        <v>156</v>
      </c>
      <c r="J267">
        <v>0.137973404</v>
      </c>
      <c r="K267">
        <v>15400</v>
      </c>
      <c r="L267">
        <v>251714.6</v>
      </c>
      <c r="M267">
        <v>32127.51</v>
      </c>
      <c r="N267">
        <v>29.89</v>
      </c>
      <c r="O267">
        <v>460306</v>
      </c>
      <c r="P267">
        <v>63509.99</v>
      </c>
      <c r="Q267">
        <v>0</v>
      </c>
      <c r="R267">
        <v>0</v>
      </c>
      <c r="S267">
        <v>0.031</v>
      </c>
      <c r="T267" t="s">
        <v>25</v>
      </c>
    </row>
    <row r="268" spans="1:20" ht="15">
      <c r="A268" t="s">
        <v>19</v>
      </c>
      <c r="B268" t="s">
        <v>20</v>
      </c>
      <c r="C268" t="str">
        <f t="shared" si="4"/>
        <v>31-Dec-21</v>
      </c>
      <c r="D268" t="s">
        <v>21</v>
      </c>
      <c r="E268" t="s">
        <v>22</v>
      </c>
      <c r="F268" t="str">
        <f>"BP3R2S4"</f>
        <v>BP3R2S4</v>
      </c>
      <c r="G268" t="s">
        <v>295</v>
      </c>
      <c r="I268" t="s">
        <v>156</v>
      </c>
      <c r="J268">
        <v>0.137973404</v>
      </c>
      <c r="K268">
        <v>21900</v>
      </c>
      <c r="L268">
        <v>308519.1</v>
      </c>
      <c r="M268">
        <v>39331.75</v>
      </c>
      <c r="N268">
        <v>12.26</v>
      </c>
      <c r="O268">
        <v>268494</v>
      </c>
      <c r="P268">
        <v>37045.03</v>
      </c>
      <c r="Q268">
        <v>0</v>
      </c>
      <c r="R268">
        <v>0</v>
      </c>
      <c r="S268">
        <v>0.018</v>
      </c>
      <c r="T268" t="s">
        <v>25</v>
      </c>
    </row>
    <row r="269" spans="1:20" ht="15">
      <c r="A269" t="s">
        <v>19</v>
      </c>
      <c r="B269" t="s">
        <v>20</v>
      </c>
      <c r="C269" t="str">
        <f t="shared" si="4"/>
        <v>31-Dec-21</v>
      </c>
      <c r="D269" t="s">
        <v>21</v>
      </c>
      <c r="E269" t="s">
        <v>22</v>
      </c>
      <c r="F269" t="str">
        <f>"BD5CKS9"</f>
        <v>BD5CKS9</v>
      </c>
      <c r="G269" t="s">
        <v>296</v>
      </c>
      <c r="I269" t="s">
        <v>156</v>
      </c>
      <c r="J269">
        <v>0.137973404</v>
      </c>
      <c r="K269">
        <v>3600</v>
      </c>
      <c r="L269">
        <v>148755.71</v>
      </c>
      <c r="M269">
        <v>19086.06</v>
      </c>
      <c r="N269">
        <v>54</v>
      </c>
      <c r="O269">
        <v>194400</v>
      </c>
      <c r="P269">
        <v>26822.03</v>
      </c>
      <c r="Q269">
        <v>0</v>
      </c>
      <c r="R269">
        <v>0</v>
      </c>
      <c r="S269">
        <v>0.013</v>
      </c>
      <c r="T269" t="s">
        <v>25</v>
      </c>
    </row>
    <row r="270" spans="1:20" ht="15">
      <c r="A270" t="s">
        <v>19</v>
      </c>
      <c r="B270" t="s">
        <v>20</v>
      </c>
      <c r="C270" t="str">
        <f t="shared" si="4"/>
        <v>31-Dec-21</v>
      </c>
      <c r="D270" t="s">
        <v>21</v>
      </c>
      <c r="E270" t="s">
        <v>22</v>
      </c>
      <c r="F270" t="str">
        <f>"BD5CG70"</f>
        <v>BD5CG70</v>
      </c>
      <c r="G270" t="s">
        <v>297</v>
      </c>
      <c r="I270" t="s">
        <v>156</v>
      </c>
      <c r="J270">
        <v>0.137973404</v>
      </c>
      <c r="K270">
        <v>4000</v>
      </c>
      <c r="L270">
        <v>130999.7</v>
      </c>
      <c r="M270">
        <v>16661.09</v>
      </c>
      <c r="N270">
        <v>30.51</v>
      </c>
      <c r="O270">
        <v>122040</v>
      </c>
      <c r="P270">
        <v>16838.27</v>
      </c>
      <c r="Q270">
        <v>0</v>
      </c>
      <c r="R270">
        <v>0</v>
      </c>
      <c r="S270">
        <v>0.008</v>
      </c>
      <c r="T270" t="s">
        <v>25</v>
      </c>
    </row>
    <row r="271" spans="1:20" ht="15">
      <c r="A271" t="s">
        <v>19</v>
      </c>
      <c r="B271" t="s">
        <v>20</v>
      </c>
      <c r="C271" t="str">
        <f t="shared" si="4"/>
        <v>31-Dec-21</v>
      </c>
      <c r="D271" t="s">
        <v>21</v>
      </c>
      <c r="E271" t="s">
        <v>22</v>
      </c>
      <c r="F271" t="str">
        <f>"BYYFJR8"</f>
        <v>BYYFJR8</v>
      </c>
      <c r="G271" t="s">
        <v>298</v>
      </c>
      <c r="I271" t="s">
        <v>156</v>
      </c>
      <c r="J271">
        <v>0.137973404</v>
      </c>
      <c r="K271">
        <v>980</v>
      </c>
      <c r="L271">
        <v>60167.77</v>
      </c>
      <c r="M271">
        <v>7669.33</v>
      </c>
      <c r="N271">
        <v>130.55</v>
      </c>
      <c r="O271">
        <v>127939</v>
      </c>
      <c r="P271">
        <v>17652.18</v>
      </c>
      <c r="Q271">
        <v>0</v>
      </c>
      <c r="R271">
        <v>0</v>
      </c>
      <c r="S271">
        <v>0.009</v>
      </c>
      <c r="T271" t="s">
        <v>25</v>
      </c>
    </row>
    <row r="272" spans="1:20" ht="15">
      <c r="A272" t="s">
        <v>19</v>
      </c>
      <c r="B272" t="s">
        <v>20</v>
      </c>
      <c r="C272" t="str">
        <f t="shared" si="4"/>
        <v>31-Dec-21</v>
      </c>
      <c r="D272" t="s">
        <v>21</v>
      </c>
      <c r="E272" t="s">
        <v>22</v>
      </c>
      <c r="F272" t="str">
        <f>"BFY8GG2"</f>
        <v>BFY8GG2</v>
      </c>
      <c r="G272" t="s">
        <v>299</v>
      </c>
      <c r="I272" t="s">
        <v>156</v>
      </c>
      <c r="J272">
        <v>0.137973404</v>
      </c>
      <c r="K272">
        <v>2300</v>
      </c>
      <c r="L272">
        <v>67384.99</v>
      </c>
      <c r="M272">
        <v>8570.3</v>
      </c>
      <c r="N272">
        <v>30.01</v>
      </c>
      <c r="O272">
        <v>69023</v>
      </c>
      <c r="P272">
        <v>9523.34</v>
      </c>
      <c r="Q272">
        <v>0</v>
      </c>
      <c r="R272">
        <v>0</v>
      </c>
      <c r="S272">
        <v>0.005</v>
      </c>
      <c r="T272" t="s">
        <v>25</v>
      </c>
    </row>
    <row r="273" spans="1:20" ht="15">
      <c r="A273" t="s">
        <v>19</v>
      </c>
      <c r="B273" t="s">
        <v>20</v>
      </c>
      <c r="C273" t="str">
        <f t="shared" si="4"/>
        <v>31-Dec-21</v>
      </c>
      <c r="D273" t="s">
        <v>21</v>
      </c>
      <c r="E273" t="s">
        <v>22</v>
      </c>
      <c r="F273" t="str">
        <f>"BP3RCV7"</f>
        <v>BP3RCV7</v>
      </c>
      <c r="G273" t="s">
        <v>300</v>
      </c>
      <c r="I273" t="s">
        <v>156</v>
      </c>
      <c r="J273">
        <v>0.137973404</v>
      </c>
      <c r="K273">
        <v>3500</v>
      </c>
      <c r="L273">
        <v>220248.98</v>
      </c>
      <c r="M273">
        <v>30412.78</v>
      </c>
      <c r="N273">
        <v>54.2</v>
      </c>
      <c r="O273">
        <v>189700</v>
      </c>
      <c r="P273">
        <v>26173.55</v>
      </c>
      <c r="Q273">
        <v>0</v>
      </c>
      <c r="R273">
        <v>0</v>
      </c>
      <c r="S273">
        <v>0.013</v>
      </c>
      <c r="T273" t="s">
        <v>25</v>
      </c>
    </row>
    <row r="274" spans="1:20" ht="15">
      <c r="A274" t="s">
        <v>19</v>
      </c>
      <c r="B274" t="s">
        <v>20</v>
      </c>
      <c r="C274" t="str">
        <f t="shared" si="4"/>
        <v>31-Dec-21</v>
      </c>
      <c r="D274" t="s">
        <v>21</v>
      </c>
      <c r="E274" t="s">
        <v>22</v>
      </c>
      <c r="F274" t="str">
        <f>"BD5CCK5"</f>
        <v>BD5CCK5</v>
      </c>
      <c r="G274" t="s">
        <v>301</v>
      </c>
      <c r="I274" t="s">
        <v>156</v>
      </c>
      <c r="J274">
        <v>0.137973404</v>
      </c>
      <c r="K274">
        <v>1500</v>
      </c>
      <c r="L274">
        <v>119765.66</v>
      </c>
      <c r="M274">
        <v>15332.7</v>
      </c>
      <c r="N274">
        <v>127.8</v>
      </c>
      <c r="O274">
        <v>191700</v>
      </c>
      <c r="P274">
        <v>26449.5</v>
      </c>
      <c r="Q274">
        <v>0</v>
      </c>
      <c r="R274">
        <v>0</v>
      </c>
      <c r="S274">
        <v>0.013</v>
      </c>
      <c r="T274" t="s">
        <v>25</v>
      </c>
    </row>
    <row r="275" spans="1:20" ht="15">
      <c r="A275" t="s">
        <v>19</v>
      </c>
      <c r="B275" t="s">
        <v>20</v>
      </c>
      <c r="C275" t="str">
        <f t="shared" si="4"/>
        <v>31-Dec-21</v>
      </c>
      <c r="D275" t="s">
        <v>21</v>
      </c>
      <c r="E275" t="s">
        <v>22</v>
      </c>
      <c r="F275" t="str">
        <f>"BD5CF39"</f>
        <v>BD5CF39</v>
      </c>
      <c r="G275" t="s">
        <v>302</v>
      </c>
      <c r="I275" t="s">
        <v>156</v>
      </c>
      <c r="J275">
        <v>0.137973404</v>
      </c>
      <c r="K275">
        <v>12800</v>
      </c>
      <c r="L275">
        <v>163660.52</v>
      </c>
      <c r="M275">
        <v>20628.76</v>
      </c>
      <c r="N275">
        <v>13.04</v>
      </c>
      <c r="O275">
        <v>166912</v>
      </c>
      <c r="P275">
        <v>23029.42</v>
      </c>
      <c r="Q275">
        <v>0</v>
      </c>
      <c r="R275">
        <v>0</v>
      </c>
      <c r="S275">
        <v>0.011</v>
      </c>
      <c r="T275" t="s">
        <v>25</v>
      </c>
    </row>
    <row r="276" spans="1:20" ht="15">
      <c r="A276" t="s">
        <v>19</v>
      </c>
      <c r="B276" t="s">
        <v>20</v>
      </c>
      <c r="C276" t="str">
        <f t="shared" si="4"/>
        <v>31-Dec-21</v>
      </c>
      <c r="D276" t="s">
        <v>21</v>
      </c>
      <c r="E276" t="s">
        <v>22</v>
      </c>
      <c r="F276" t="str">
        <f>"BD5CP84"</f>
        <v>BD5CP84</v>
      </c>
      <c r="G276" t="s">
        <v>303</v>
      </c>
      <c r="I276" t="s">
        <v>156</v>
      </c>
      <c r="J276">
        <v>0.137973404</v>
      </c>
      <c r="K276">
        <v>10700</v>
      </c>
      <c r="L276">
        <v>262414.44</v>
      </c>
      <c r="M276">
        <v>33611.58</v>
      </c>
      <c r="N276">
        <v>31.55</v>
      </c>
      <c r="O276">
        <v>337585</v>
      </c>
      <c r="P276">
        <v>46577.75</v>
      </c>
      <c r="Q276">
        <v>0</v>
      </c>
      <c r="R276">
        <v>0</v>
      </c>
      <c r="S276">
        <v>0.023</v>
      </c>
      <c r="T276" t="s">
        <v>25</v>
      </c>
    </row>
    <row r="277" spans="1:20" ht="15">
      <c r="A277" t="s">
        <v>19</v>
      </c>
      <c r="B277" t="s">
        <v>20</v>
      </c>
      <c r="C277" t="str">
        <f t="shared" si="4"/>
        <v>31-Dec-21</v>
      </c>
      <c r="D277" t="s">
        <v>21</v>
      </c>
      <c r="E277" t="s">
        <v>22</v>
      </c>
      <c r="F277" t="str">
        <f>"BD5C8D0"</f>
        <v>BD5C8D0</v>
      </c>
      <c r="G277" t="s">
        <v>304</v>
      </c>
      <c r="I277" t="s">
        <v>156</v>
      </c>
      <c r="J277">
        <v>0.137973404</v>
      </c>
      <c r="K277">
        <v>7400</v>
      </c>
      <c r="L277">
        <v>104921.83</v>
      </c>
      <c r="M277">
        <v>13373.95</v>
      </c>
      <c r="N277">
        <v>18.87</v>
      </c>
      <c r="O277">
        <v>139638</v>
      </c>
      <c r="P277">
        <v>19266.33</v>
      </c>
      <c r="Q277">
        <v>0</v>
      </c>
      <c r="R277">
        <v>0</v>
      </c>
      <c r="S277">
        <v>0.01</v>
      </c>
      <c r="T277" t="s">
        <v>25</v>
      </c>
    </row>
    <row r="278" spans="1:20" ht="15">
      <c r="A278" t="s">
        <v>19</v>
      </c>
      <c r="B278" t="s">
        <v>20</v>
      </c>
      <c r="C278" t="str">
        <f t="shared" si="4"/>
        <v>31-Dec-21</v>
      </c>
      <c r="D278" t="s">
        <v>21</v>
      </c>
      <c r="E278" t="s">
        <v>22</v>
      </c>
      <c r="F278" t="str">
        <f>"BFB4HL5"</f>
        <v>BFB4HL5</v>
      </c>
      <c r="G278" t="s">
        <v>305</v>
      </c>
      <c r="I278" t="s">
        <v>156</v>
      </c>
      <c r="J278">
        <v>0.137973404</v>
      </c>
      <c r="K278">
        <v>6100</v>
      </c>
      <c r="L278">
        <v>96355.1</v>
      </c>
      <c r="M278">
        <v>12341.72</v>
      </c>
      <c r="N278">
        <v>22.97</v>
      </c>
      <c r="O278">
        <v>140117</v>
      </c>
      <c r="P278">
        <v>19332.42</v>
      </c>
      <c r="Q278">
        <v>0</v>
      </c>
      <c r="R278">
        <v>0</v>
      </c>
      <c r="S278">
        <v>0.01</v>
      </c>
      <c r="T278" t="s">
        <v>25</v>
      </c>
    </row>
    <row r="279" spans="1:20" ht="15">
      <c r="A279" t="s">
        <v>19</v>
      </c>
      <c r="B279" t="s">
        <v>20</v>
      </c>
      <c r="C279" t="str">
        <f t="shared" si="4"/>
        <v>31-Dec-21</v>
      </c>
      <c r="D279" t="s">
        <v>21</v>
      </c>
      <c r="E279" t="s">
        <v>22</v>
      </c>
      <c r="F279" t="str">
        <f>"BD5M1L9"</f>
        <v>BD5M1L9</v>
      </c>
      <c r="G279" t="s">
        <v>306</v>
      </c>
      <c r="I279" t="s">
        <v>156</v>
      </c>
      <c r="J279">
        <v>0.137973404</v>
      </c>
      <c r="K279">
        <v>11600</v>
      </c>
      <c r="L279">
        <v>137451.66</v>
      </c>
      <c r="M279">
        <v>17147.55</v>
      </c>
      <c r="N279">
        <v>10.62</v>
      </c>
      <c r="O279">
        <v>123192</v>
      </c>
      <c r="P279">
        <v>16997.22</v>
      </c>
      <c r="Q279">
        <v>0</v>
      </c>
      <c r="R279">
        <v>0</v>
      </c>
      <c r="S279">
        <v>0.008</v>
      </c>
      <c r="T279" t="s">
        <v>25</v>
      </c>
    </row>
    <row r="280" spans="1:20" ht="15">
      <c r="A280" t="s">
        <v>19</v>
      </c>
      <c r="B280" t="s">
        <v>20</v>
      </c>
      <c r="C280" t="str">
        <f t="shared" si="4"/>
        <v>31-Dec-21</v>
      </c>
      <c r="D280" t="s">
        <v>21</v>
      </c>
      <c r="E280" t="s">
        <v>22</v>
      </c>
      <c r="F280" t="str">
        <f>"BD5CN46"</f>
        <v>BD5CN46</v>
      </c>
      <c r="G280" t="s">
        <v>307</v>
      </c>
      <c r="I280" t="s">
        <v>156</v>
      </c>
      <c r="J280">
        <v>0.137973404</v>
      </c>
      <c r="K280">
        <v>2100</v>
      </c>
      <c r="L280">
        <v>232704.49</v>
      </c>
      <c r="M280">
        <v>29806.15</v>
      </c>
      <c r="N280">
        <v>144.58</v>
      </c>
      <c r="O280">
        <v>303618</v>
      </c>
      <c r="P280">
        <v>41891.21</v>
      </c>
      <c r="Q280">
        <v>0</v>
      </c>
      <c r="R280">
        <v>0</v>
      </c>
      <c r="S280">
        <v>0.021</v>
      </c>
      <c r="T280" t="s">
        <v>25</v>
      </c>
    </row>
    <row r="281" spans="1:20" ht="15">
      <c r="A281" t="s">
        <v>19</v>
      </c>
      <c r="B281" t="s">
        <v>20</v>
      </c>
      <c r="C281" t="str">
        <f t="shared" si="4"/>
        <v>31-Dec-21</v>
      </c>
      <c r="D281" t="s">
        <v>21</v>
      </c>
      <c r="E281" t="s">
        <v>22</v>
      </c>
      <c r="F281" t="str">
        <f>"BYQDM93"</f>
        <v>BYQDM93</v>
      </c>
      <c r="G281" t="s">
        <v>308</v>
      </c>
      <c r="I281" t="s">
        <v>156</v>
      </c>
      <c r="J281">
        <v>0.137973404</v>
      </c>
      <c r="K281">
        <v>2700</v>
      </c>
      <c r="L281">
        <v>104299.38</v>
      </c>
      <c r="M281">
        <v>13175.18</v>
      </c>
      <c r="N281">
        <v>74.64</v>
      </c>
      <c r="O281">
        <v>201528</v>
      </c>
      <c r="P281">
        <v>27805.5</v>
      </c>
      <c r="Q281">
        <v>0</v>
      </c>
      <c r="R281">
        <v>0</v>
      </c>
      <c r="S281">
        <v>0.014</v>
      </c>
      <c r="T281" t="s">
        <v>25</v>
      </c>
    </row>
    <row r="282" spans="1:20" ht="15">
      <c r="A282" t="s">
        <v>19</v>
      </c>
      <c r="B282" t="s">
        <v>20</v>
      </c>
      <c r="C282" t="str">
        <f t="shared" si="4"/>
        <v>31-Dec-21</v>
      </c>
      <c r="D282" t="s">
        <v>21</v>
      </c>
      <c r="E282" t="s">
        <v>22</v>
      </c>
      <c r="F282" t="str">
        <f>"BK71FX3"</f>
        <v>BK71FX3</v>
      </c>
      <c r="G282" t="s">
        <v>309</v>
      </c>
      <c r="I282" t="s">
        <v>156</v>
      </c>
      <c r="J282">
        <v>0.137973404</v>
      </c>
      <c r="K282">
        <v>9300</v>
      </c>
      <c r="L282">
        <v>177759.6</v>
      </c>
      <c r="M282">
        <v>22454.74</v>
      </c>
      <c r="N282">
        <v>11.92</v>
      </c>
      <c r="O282">
        <v>110856</v>
      </c>
      <c r="P282">
        <v>15295.18</v>
      </c>
      <c r="Q282">
        <v>0</v>
      </c>
      <c r="R282">
        <v>0</v>
      </c>
      <c r="S282">
        <v>0.008</v>
      </c>
      <c r="T282" t="s">
        <v>25</v>
      </c>
    </row>
    <row r="283" spans="1:20" ht="15">
      <c r="A283" t="s">
        <v>19</v>
      </c>
      <c r="B283" t="s">
        <v>20</v>
      </c>
      <c r="C283" t="str">
        <f t="shared" si="4"/>
        <v>31-Dec-21</v>
      </c>
      <c r="D283" t="s">
        <v>21</v>
      </c>
      <c r="E283" t="s">
        <v>22</v>
      </c>
      <c r="F283" t="str">
        <f>"BFYQH85"</f>
        <v>BFYQH85</v>
      </c>
      <c r="G283" t="s">
        <v>310</v>
      </c>
      <c r="I283" t="s">
        <v>156</v>
      </c>
      <c r="J283">
        <v>0.137973404</v>
      </c>
      <c r="K283">
        <v>1000</v>
      </c>
      <c r="L283">
        <v>227138.17</v>
      </c>
      <c r="M283">
        <v>29960.39</v>
      </c>
      <c r="N283">
        <v>131.97</v>
      </c>
      <c r="O283">
        <v>131970</v>
      </c>
      <c r="P283">
        <v>18208.35</v>
      </c>
      <c r="Q283">
        <v>0</v>
      </c>
      <c r="R283">
        <v>0</v>
      </c>
      <c r="S283">
        <v>0.009</v>
      </c>
      <c r="T283" t="s">
        <v>25</v>
      </c>
    </row>
    <row r="284" spans="1:20" ht="15">
      <c r="A284" t="s">
        <v>19</v>
      </c>
      <c r="B284" t="s">
        <v>20</v>
      </c>
      <c r="C284" t="str">
        <f t="shared" si="4"/>
        <v>31-Dec-21</v>
      </c>
      <c r="D284" t="s">
        <v>21</v>
      </c>
      <c r="E284" t="s">
        <v>22</v>
      </c>
      <c r="F284" t="str">
        <f>"BD5CM94"</f>
        <v>BD5CM94</v>
      </c>
      <c r="G284" t="s">
        <v>311</v>
      </c>
      <c r="I284" t="s">
        <v>156</v>
      </c>
      <c r="J284">
        <v>0.137973404</v>
      </c>
      <c r="K284">
        <v>3300</v>
      </c>
      <c r="L284">
        <v>84859.54</v>
      </c>
      <c r="M284">
        <v>10777.01</v>
      </c>
      <c r="N284">
        <v>40.2</v>
      </c>
      <c r="O284">
        <v>132660</v>
      </c>
      <c r="P284">
        <v>18303.55</v>
      </c>
      <c r="Q284">
        <v>0</v>
      </c>
      <c r="R284">
        <v>0</v>
      </c>
      <c r="S284">
        <v>0.009</v>
      </c>
      <c r="T284" t="s">
        <v>25</v>
      </c>
    </row>
    <row r="285" spans="1:20" ht="15">
      <c r="A285" t="s">
        <v>19</v>
      </c>
      <c r="B285" t="s">
        <v>20</v>
      </c>
      <c r="C285" t="str">
        <f t="shared" si="4"/>
        <v>31-Dec-21</v>
      </c>
      <c r="D285" t="s">
        <v>21</v>
      </c>
      <c r="E285" t="s">
        <v>22</v>
      </c>
      <c r="F285" t="str">
        <f>"BD5M089"</f>
        <v>BD5M089</v>
      </c>
      <c r="G285" t="s">
        <v>312</v>
      </c>
      <c r="I285" t="s">
        <v>156</v>
      </c>
      <c r="J285">
        <v>0.137973404</v>
      </c>
      <c r="K285">
        <v>11800</v>
      </c>
      <c r="L285">
        <v>146881.36</v>
      </c>
      <c r="M285">
        <v>18908.59</v>
      </c>
      <c r="N285">
        <v>10.44</v>
      </c>
      <c r="O285">
        <v>123192</v>
      </c>
      <c r="P285">
        <v>16997.22</v>
      </c>
      <c r="Q285">
        <v>0</v>
      </c>
      <c r="R285">
        <v>0</v>
      </c>
      <c r="S285">
        <v>0.008</v>
      </c>
      <c r="T285" t="s">
        <v>25</v>
      </c>
    </row>
    <row r="286" spans="1:20" ht="15">
      <c r="A286" t="s">
        <v>19</v>
      </c>
      <c r="B286" t="s">
        <v>20</v>
      </c>
      <c r="C286" t="str">
        <f t="shared" si="4"/>
        <v>31-Dec-21</v>
      </c>
      <c r="D286" t="s">
        <v>21</v>
      </c>
      <c r="E286" t="s">
        <v>22</v>
      </c>
      <c r="F286" t="str">
        <f>"BD5CCY9"</f>
        <v>BD5CCY9</v>
      </c>
      <c r="G286" t="s">
        <v>313</v>
      </c>
      <c r="I286" t="s">
        <v>156</v>
      </c>
      <c r="J286">
        <v>0.137973404</v>
      </c>
      <c r="K286">
        <v>4500</v>
      </c>
      <c r="L286">
        <v>108966.29</v>
      </c>
      <c r="M286">
        <v>13889.48</v>
      </c>
      <c r="N286">
        <v>27.86</v>
      </c>
      <c r="O286">
        <v>125370</v>
      </c>
      <c r="P286">
        <v>17297.73</v>
      </c>
      <c r="Q286">
        <v>0</v>
      </c>
      <c r="R286">
        <v>0</v>
      </c>
      <c r="S286">
        <v>0.009</v>
      </c>
      <c r="T286" t="s">
        <v>25</v>
      </c>
    </row>
    <row r="287" spans="1:20" ht="15">
      <c r="A287" t="s">
        <v>19</v>
      </c>
      <c r="B287" t="s">
        <v>20</v>
      </c>
      <c r="C287" t="str">
        <f t="shared" si="4"/>
        <v>31-Dec-21</v>
      </c>
      <c r="D287" t="s">
        <v>21</v>
      </c>
      <c r="E287" t="s">
        <v>22</v>
      </c>
      <c r="F287" t="str">
        <f>"BS7K376"</f>
        <v>BS7K376</v>
      </c>
      <c r="G287" t="s">
        <v>314</v>
      </c>
      <c r="I287" t="s">
        <v>156</v>
      </c>
      <c r="J287">
        <v>0.137973404</v>
      </c>
      <c r="K287">
        <v>8200</v>
      </c>
      <c r="L287">
        <v>89024.16</v>
      </c>
      <c r="M287">
        <v>11322.46</v>
      </c>
      <c r="N287">
        <v>11.18</v>
      </c>
      <c r="O287">
        <v>91676</v>
      </c>
      <c r="P287">
        <v>12648.85</v>
      </c>
      <c r="Q287">
        <v>0</v>
      </c>
      <c r="R287">
        <v>0</v>
      </c>
      <c r="S287">
        <v>0.006</v>
      </c>
      <c r="T287" t="s">
        <v>25</v>
      </c>
    </row>
    <row r="288" spans="1:20" ht="15">
      <c r="A288" t="s">
        <v>19</v>
      </c>
      <c r="B288" t="s">
        <v>20</v>
      </c>
      <c r="C288" t="str">
        <f t="shared" si="4"/>
        <v>31-Dec-21</v>
      </c>
      <c r="D288" t="s">
        <v>21</v>
      </c>
      <c r="E288" t="s">
        <v>22</v>
      </c>
      <c r="F288" t="str">
        <f>"BD5CL19"</f>
        <v>BD5CL19</v>
      </c>
      <c r="G288" t="s">
        <v>315</v>
      </c>
      <c r="I288" t="s">
        <v>156</v>
      </c>
      <c r="J288">
        <v>0.137973404</v>
      </c>
      <c r="K288">
        <v>5590</v>
      </c>
      <c r="L288">
        <v>147638.77</v>
      </c>
      <c r="M288">
        <v>18971.14</v>
      </c>
      <c r="N288">
        <v>29.14</v>
      </c>
      <c r="O288">
        <v>162892.6</v>
      </c>
      <c r="P288">
        <v>22474.85</v>
      </c>
      <c r="Q288">
        <v>0</v>
      </c>
      <c r="R288">
        <v>0</v>
      </c>
      <c r="S288">
        <v>0.011</v>
      </c>
      <c r="T288" t="s">
        <v>25</v>
      </c>
    </row>
    <row r="289" spans="1:20" ht="15">
      <c r="A289" t="s">
        <v>19</v>
      </c>
      <c r="B289" t="s">
        <v>20</v>
      </c>
      <c r="C289" t="str">
        <f t="shared" si="4"/>
        <v>31-Dec-21</v>
      </c>
      <c r="D289" t="s">
        <v>21</v>
      </c>
      <c r="E289" t="s">
        <v>22</v>
      </c>
      <c r="F289" t="str">
        <f>"BP3R314"</f>
        <v>BP3R314</v>
      </c>
      <c r="G289" t="s">
        <v>316</v>
      </c>
      <c r="I289" t="s">
        <v>156</v>
      </c>
      <c r="J289">
        <v>0.137973404</v>
      </c>
      <c r="K289">
        <v>19400</v>
      </c>
      <c r="L289">
        <v>90024.99</v>
      </c>
      <c r="M289">
        <v>11452.61</v>
      </c>
      <c r="N289">
        <v>9.69</v>
      </c>
      <c r="O289">
        <v>187986</v>
      </c>
      <c r="P289">
        <v>25937.07</v>
      </c>
      <c r="Q289">
        <v>0</v>
      </c>
      <c r="R289">
        <v>0</v>
      </c>
      <c r="S289">
        <v>0.013</v>
      </c>
      <c r="T289" t="s">
        <v>25</v>
      </c>
    </row>
    <row r="290" spans="1:20" ht="15">
      <c r="A290" t="s">
        <v>19</v>
      </c>
      <c r="B290" t="s">
        <v>20</v>
      </c>
      <c r="C290" t="str">
        <f t="shared" si="4"/>
        <v>31-Dec-21</v>
      </c>
      <c r="D290" t="s">
        <v>21</v>
      </c>
      <c r="E290" t="s">
        <v>22</v>
      </c>
      <c r="F290" t="str">
        <f>"BP3R3B4"</f>
        <v>BP3R3B4</v>
      </c>
      <c r="G290" t="s">
        <v>317</v>
      </c>
      <c r="I290" t="s">
        <v>156</v>
      </c>
      <c r="J290">
        <v>0.137973404</v>
      </c>
      <c r="K290">
        <v>14900</v>
      </c>
      <c r="L290">
        <v>287849.18</v>
      </c>
      <c r="M290">
        <v>36672.43</v>
      </c>
      <c r="N290">
        <v>17.76</v>
      </c>
      <c r="O290">
        <v>264624</v>
      </c>
      <c r="P290">
        <v>36511.07</v>
      </c>
      <c r="Q290">
        <v>0</v>
      </c>
      <c r="R290">
        <v>0</v>
      </c>
      <c r="S290">
        <v>0.018</v>
      </c>
      <c r="T290" t="s">
        <v>25</v>
      </c>
    </row>
    <row r="291" spans="1:20" ht="15">
      <c r="A291" t="s">
        <v>19</v>
      </c>
      <c r="B291" t="s">
        <v>20</v>
      </c>
      <c r="C291" t="str">
        <f t="shared" si="4"/>
        <v>31-Dec-21</v>
      </c>
      <c r="D291" t="s">
        <v>21</v>
      </c>
      <c r="E291" t="s">
        <v>22</v>
      </c>
      <c r="F291" t="str">
        <f>"BP3R2T5"</f>
        <v>BP3R2T5</v>
      </c>
      <c r="G291" t="s">
        <v>318</v>
      </c>
      <c r="I291" t="s">
        <v>156</v>
      </c>
      <c r="J291">
        <v>0.137973404</v>
      </c>
      <c r="K291">
        <v>20600</v>
      </c>
      <c r="L291">
        <v>145488.15</v>
      </c>
      <c r="M291">
        <v>18609.99</v>
      </c>
      <c r="N291">
        <v>5.6</v>
      </c>
      <c r="O291">
        <v>115360</v>
      </c>
      <c r="P291">
        <v>15916.61</v>
      </c>
      <c r="Q291">
        <v>0</v>
      </c>
      <c r="R291">
        <v>0</v>
      </c>
      <c r="S291">
        <v>0.008</v>
      </c>
      <c r="T291" t="s">
        <v>25</v>
      </c>
    </row>
    <row r="292" spans="1:20" ht="15">
      <c r="A292" t="s">
        <v>19</v>
      </c>
      <c r="B292" t="s">
        <v>20</v>
      </c>
      <c r="C292" t="str">
        <f t="shared" si="4"/>
        <v>31-Dec-21</v>
      </c>
      <c r="D292" t="s">
        <v>21</v>
      </c>
      <c r="E292" t="s">
        <v>22</v>
      </c>
      <c r="F292" t="str">
        <f>"BP3R4T9"</f>
        <v>BP3R4T9</v>
      </c>
      <c r="G292" t="s">
        <v>319</v>
      </c>
      <c r="I292" t="s">
        <v>156</v>
      </c>
      <c r="J292">
        <v>0.137973404</v>
      </c>
      <c r="K292">
        <v>4800</v>
      </c>
      <c r="L292">
        <v>124548.35</v>
      </c>
      <c r="M292">
        <v>15924.51</v>
      </c>
      <c r="N292">
        <v>28.3</v>
      </c>
      <c r="O292">
        <v>135840</v>
      </c>
      <c r="P292">
        <v>18742.31</v>
      </c>
      <c r="Q292">
        <v>0</v>
      </c>
      <c r="R292">
        <v>0</v>
      </c>
      <c r="S292">
        <v>0.009</v>
      </c>
      <c r="T292" t="s">
        <v>25</v>
      </c>
    </row>
    <row r="293" spans="1:20" ht="15">
      <c r="A293" t="s">
        <v>19</v>
      </c>
      <c r="B293" t="s">
        <v>20</v>
      </c>
      <c r="C293" t="str">
        <f t="shared" si="4"/>
        <v>31-Dec-21</v>
      </c>
      <c r="D293" t="s">
        <v>21</v>
      </c>
      <c r="E293" t="s">
        <v>22</v>
      </c>
      <c r="F293" t="str">
        <f>"BD5CN57"</f>
        <v>BD5CN57</v>
      </c>
      <c r="G293" t="s">
        <v>320</v>
      </c>
      <c r="I293" t="s">
        <v>156</v>
      </c>
      <c r="J293">
        <v>0.137973404</v>
      </c>
      <c r="K293">
        <v>27200</v>
      </c>
      <c r="L293">
        <v>110227.05</v>
      </c>
      <c r="M293">
        <v>14050.18</v>
      </c>
      <c r="N293">
        <v>5.24</v>
      </c>
      <c r="O293">
        <v>142528</v>
      </c>
      <c r="P293">
        <v>19665.07</v>
      </c>
      <c r="Q293">
        <v>0</v>
      </c>
      <c r="R293">
        <v>0</v>
      </c>
      <c r="S293">
        <v>0.01</v>
      </c>
      <c r="T293" t="s">
        <v>25</v>
      </c>
    </row>
    <row r="294" spans="1:20" ht="15">
      <c r="A294" t="s">
        <v>19</v>
      </c>
      <c r="B294" t="s">
        <v>20</v>
      </c>
      <c r="C294" t="str">
        <f t="shared" si="4"/>
        <v>31-Dec-21</v>
      </c>
      <c r="D294" t="s">
        <v>21</v>
      </c>
      <c r="E294" t="s">
        <v>22</v>
      </c>
      <c r="F294" t="str">
        <f>"BFY8GX9"</f>
        <v>BFY8GX9</v>
      </c>
      <c r="G294" t="s">
        <v>321</v>
      </c>
      <c r="I294" t="s">
        <v>156</v>
      </c>
      <c r="J294">
        <v>0.137973404</v>
      </c>
      <c r="K294">
        <v>2100</v>
      </c>
      <c r="L294">
        <v>149169.74</v>
      </c>
      <c r="M294">
        <v>19014.04</v>
      </c>
      <c r="N294">
        <v>141.51</v>
      </c>
      <c r="O294">
        <v>297171</v>
      </c>
      <c r="P294">
        <v>41001.69</v>
      </c>
      <c r="Q294">
        <v>0</v>
      </c>
      <c r="R294">
        <v>0</v>
      </c>
      <c r="S294">
        <v>0.02</v>
      </c>
      <c r="T294" t="s">
        <v>25</v>
      </c>
    </row>
    <row r="295" spans="1:20" ht="15">
      <c r="A295" t="s">
        <v>19</v>
      </c>
      <c r="B295" t="s">
        <v>20</v>
      </c>
      <c r="C295" t="str">
        <f t="shared" si="4"/>
        <v>31-Dec-21</v>
      </c>
      <c r="D295" t="s">
        <v>21</v>
      </c>
      <c r="E295" t="s">
        <v>22</v>
      </c>
      <c r="F295" t="str">
        <f>"BP3R712"</f>
        <v>BP3R712</v>
      </c>
      <c r="G295" t="s">
        <v>322</v>
      </c>
      <c r="I295" t="s">
        <v>156</v>
      </c>
      <c r="J295">
        <v>0.137973404</v>
      </c>
      <c r="K295">
        <v>4800</v>
      </c>
      <c r="L295">
        <v>155240.06</v>
      </c>
      <c r="M295">
        <v>19366.71</v>
      </c>
      <c r="N295">
        <v>22.52</v>
      </c>
      <c r="O295">
        <v>108096</v>
      </c>
      <c r="P295">
        <v>14914.37</v>
      </c>
      <c r="Q295">
        <v>0</v>
      </c>
      <c r="R295">
        <v>0</v>
      </c>
      <c r="S295">
        <v>0.007</v>
      </c>
      <c r="T295" t="s">
        <v>25</v>
      </c>
    </row>
    <row r="296" spans="1:20" ht="15">
      <c r="A296" t="s">
        <v>19</v>
      </c>
      <c r="B296" t="s">
        <v>20</v>
      </c>
      <c r="C296" t="str">
        <f t="shared" si="4"/>
        <v>31-Dec-21</v>
      </c>
      <c r="D296" t="s">
        <v>21</v>
      </c>
      <c r="E296" t="s">
        <v>22</v>
      </c>
      <c r="F296" t="str">
        <f>"BD5M0H8"</f>
        <v>BD5M0H8</v>
      </c>
      <c r="G296" t="s">
        <v>323</v>
      </c>
      <c r="I296" t="s">
        <v>156</v>
      </c>
      <c r="J296">
        <v>0.137973404</v>
      </c>
      <c r="K296">
        <v>25600</v>
      </c>
      <c r="L296">
        <v>131151.78</v>
      </c>
      <c r="M296">
        <v>16717.37</v>
      </c>
      <c r="N296">
        <v>5.11</v>
      </c>
      <c r="O296">
        <v>130816</v>
      </c>
      <c r="P296">
        <v>18049.13</v>
      </c>
      <c r="Q296">
        <v>0</v>
      </c>
      <c r="R296">
        <v>0</v>
      </c>
      <c r="S296">
        <v>0.009</v>
      </c>
      <c r="T296" t="s">
        <v>25</v>
      </c>
    </row>
    <row r="297" spans="1:20" ht="15">
      <c r="A297" t="s">
        <v>19</v>
      </c>
      <c r="B297" t="s">
        <v>20</v>
      </c>
      <c r="C297" t="str">
        <f t="shared" si="4"/>
        <v>31-Dec-21</v>
      </c>
      <c r="D297" t="s">
        <v>21</v>
      </c>
      <c r="E297" t="s">
        <v>22</v>
      </c>
      <c r="F297" t="str">
        <f>"BP3R6B5"</f>
        <v>BP3R6B5</v>
      </c>
      <c r="G297" t="s">
        <v>324</v>
      </c>
      <c r="I297" t="s">
        <v>156</v>
      </c>
      <c r="J297">
        <v>0.137973404</v>
      </c>
      <c r="K297">
        <v>5460</v>
      </c>
      <c r="L297">
        <v>239641.49</v>
      </c>
      <c r="M297">
        <v>30694.68</v>
      </c>
      <c r="N297">
        <v>62.15</v>
      </c>
      <c r="O297">
        <v>339339</v>
      </c>
      <c r="P297">
        <v>46819.76</v>
      </c>
      <c r="Q297">
        <v>0</v>
      </c>
      <c r="R297">
        <v>0</v>
      </c>
      <c r="S297">
        <v>0.023</v>
      </c>
      <c r="T297" t="s">
        <v>25</v>
      </c>
    </row>
    <row r="298" spans="1:20" ht="15">
      <c r="A298" t="s">
        <v>19</v>
      </c>
      <c r="B298" t="s">
        <v>20</v>
      </c>
      <c r="C298" t="str">
        <f t="shared" si="4"/>
        <v>31-Dec-21</v>
      </c>
      <c r="D298" t="s">
        <v>21</v>
      </c>
      <c r="E298" t="s">
        <v>22</v>
      </c>
      <c r="F298" t="str">
        <f>"BD5CNN5"</f>
        <v>BD5CNN5</v>
      </c>
      <c r="G298" t="s">
        <v>325</v>
      </c>
      <c r="I298" t="s">
        <v>156</v>
      </c>
      <c r="J298">
        <v>0.137973404</v>
      </c>
      <c r="K298">
        <v>7800</v>
      </c>
      <c r="L298">
        <v>263407.02</v>
      </c>
      <c r="M298">
        <v>33738.71</v>
      </c>
      <c r="N298">
        <v>52.51</v>
      </c>
      <c r="O298">
        <v>409578</v>
      </c>
      <c r="P298">
        <v>56510.87</v>
      </c>
      <c r="Q298">
        <v>0</v>
      </c>
      <c r="R298">
        <v>0</v>
      </c>
      <c r="S298">
        <v>0.028</v>
      </c>
      <c r="T298" t="s">
        <v>25</v>
      </c>
    </row>
    <row r="299" spans="1:20" ht="15">
      <c r="A299" t="s">
        <v>19</v>
      </c>
      <c r="B299" t="s">
        <v>20</v>
      </c>
      <c r="C299" t="str">
        <f t="shared" si="4"/>
        <v>31-Dec-21</v>
      </c>
      <c r="D299" t="s">
        <v>21</v>
      </c>
      <c r="E299" t="s">
        <v>22</v>
      </c>
      <c r="F299" t="str">
        <f>"BNR4MY3"</f>
        <v>BNR4MY3</v>
      </c>
      <c r="G299" t="s">
        <v>326</v>
      </c>
      <c r="I299" t="s">
        <v>156</v>
      </c>
      <c r="J299">
        <v>0.137973404</v>
      </c>
      <c r="K299">
        <v>400</v>
      </c>
      <c r="L299">
        <v>215619.16</v>
      </c>
      <c r="M299">
        <v>28440.99</v>
      </c>
      <c r="N299">
        <v>536.11</v>
      </c>
      <c r="O299">
        <v>214444</v>
      </c>
      <c r="P299">
        <v>29587.57</v>
      </c>
      <c r="Q299">
        <v>0</v>
      </c>
      <c r="R299">
        <v>0</v>
      </c>
      <c r="S299">
        <v>0.015</v>
      </c>
      <c r="T299" t="s">
        <v>25</v>
      </c>
    </row>
    <row r="300" spans="1:20" ht="15">
      <c r="A300" t="s">
        <v>19</v>
      </c>
      <c r="B300" t="s">
        <v>20</v>
      </c>
      <c r="C300" t="str">
        <f t="shared" si="4"/>
        <v>31-Dec-21</v>
      </c>
      <c r="D300" t="s">
        <v>21</v>
      </c>
      <c r="E300" t="s">
        <v>22</v>
      </c>
      <c r="F300" t="str">
        <f>"BP3R217"</f>
        <v>BP3R217</v>
      </c>
      <c r="G300" t="s">
        <v>327</v>
      </c>
      <c r="I300" t="s">
        <v>156</v>
      </c>
      <c r="J300">
        <v>0.137973404</v>
      </c>
      <c r="K300">
        <v>167800</v>
      </c>
      <c r="L300">
        <v>925239.66</v>
      </c>
      <c r="M300">
        <v>118451.7</v>
      </c>
      <c r="N300">
        <v>4.63</v>
      </c>
      <c r="O300">
        <v>776914</v>
      </c>
      <c r="P300">
        <v>107193.47</v>
      </c>
      <c r="Q300">
        <v>0</v>
      </c>
      <c r="R300">
        <v>0</v>
      </c>
      <c r="S300">
        <v>0.053</v>
      </c>
      <c r="T300" t="s">
        <v>25</v>
      </c>
    </row>
    <row r="301" spans="1:20" ht="15">
      <c r="A301" t="s">
        <v>19</v>
      </c>
      <c r="B301" t="s">
        <v>20</v>
      </c>
      <c r="C301" t="str">
        <f t="shared" si="4"/>
        <v>31-Dec-21</v>
      </c>
      <c r="D301" t="s">
        <v>21</v>
      </c>
      <c r="E301" t="s">
        <v>22</v>
      </c>
      <c r="F301" t="str">
        <f>"BP3R295"</f>
        <v>BP3R295</v>
      </c>
      <c r="G301" t="s">
        <v>328</v>
      </c>
      <c r="I301" t="s">
        <v>156</v>
      </c>
      <c r="J301">
        <v>0.137973404</v>
      </c>
      <c r="K301">
        <v>48400</v>
      </c>
      <c r="L301">
        <v>835956.33</v>
      </c>
      <c r="M301">
        <v>106925.56</v>
      </c>
      <c r="N301">
        <v>19.04</v>
      </c>
      <c r="O301">
        <v>921536</v>
      </c>
      <c r="P301">
        <v>127147.46</v>
      </c>
      <c r="Q301">
        <v>0</v>
      </c>
      <c r="R301">
        <v>0</v>
      </c>
      <c r="S301">
        <v>0.063</v>
      </c>
      <c r="T301" t="s">
        <v>25</v>
      </c>
    </row>
    <row r="302" spans="1:20" ht="15">
      <c r="A302" t="s">
        <v>19</v>
      </c>
      <c r="B302" t="s">
        <v>20</v>
      </c>
      <c r="C302" t="str">
        <f t="shared" si="4"/>
        <v>31-Dec-21</v>
      </c>
      <c r="D302" t="s">
        <v>21</v>
      </c>
      <c r="E302" t="s">
        <v>22</v>
      </c>
      <c r="F302" t="str">
        <f>"BP3R5B8"</f>
        <v>BP3R5B8</v>
      </c>
      <c r="G302" t="s">
        <v>329</v>
      </c>
      <c r="I302" t="s">
        <v>156</v>
      </c>
      <c r="J302">
        <v>0.137973404</v>
      </c>
      <c r="K302">
        <v>25200</v>
      </c>
      <c r="L302">
        <v>188272.43</v>
      </c>
      <c r="M302">
        <v>24150.05</v>
      </c>
      <c r="N302">
        <v>9.88</v>
      </c>
      <c r="O302">
        <v>248976</v>
      </c>
      <c r="P302">
        <v>34352.07</v>
      </c>
      <c r="Q302">
        <v>0</v>
      </c>
      <c r="R302">
        <v>0</v>
      </c>
      <c r="S302">
        <v>0.017</v>
      </c>
      <c r="T302" t="s">
        <v>25</v>
      </c>
    </row>
    <row r="303" spans="1:20" ht="15">
      <c r="A303" t="s">
        <v>19</v>
      </c>
      <c r="B303" t="s">
        <v>20</v>
      </c>
      <c r="C303" t="str">
        <f t="shared" si="4"/>
        <v>31-Dec-21</v>
      </c>
      <c r="D303" t="s">
        <v>21</v>
      </c>
      <c r="E303" t="s">
        <v>22</v>
      </c>
      <c r="F303" t="str">
        <f>"BP3R488"</f>
        <v>BP3R488</v>
      </c>
      <c r="G303" t="s">
        <v>330</v>
      </c>
      <c r="I303" t="s">
        <v>156</v>
      </c>
      <c r="J303">
        <v>0.137973404</v>
      </c>
      <c r="K303">
        <v>90000</v>
      </c>
      <c r="L303">
        <v>135937.98</v>
      </c>
      <c r="M303">
        <v>17411.73</v>
      </c>
      <c r="N303">
        <v>2.79</v>
      </c>
      <c r="O303">
        <v>251100</v>
      </c>
      <c r="P303">
        <v>34645.12</v>
      </c>
      <c r="Q303">
        <v>0</v>
      </c>
      <c r="R303">
        <v>0</v>
      </c>
      <c r="S303">
        <v>0.017</v>
      </c>
      <c r="T303" t="s">
        <v>25</v>
      </c>
    </row>
    <row r="304" spans="1:20" ht="15">
      <c r="A304" t="s">
        <v>19</v>
      </c>
      <c r="B304" t="s">
        <v>20</v>
      </c>
      <c r="C304" t="str">
        <f t="shared" si="4"/>
        <v>31-Dec-21</v>
      </c>
      <c r="D304" t="s">
        <v>21</v>
      </c>
      <c r="E304" t="s">
        <v>22</v>
      </c>
      <c r="F304" t="str">
        <f>"BP3R7B2"</f>
        <v>BP3R7B2</v>
      </c>
      <c r="G304" t="s">
        <v>331</v>
      </c>
      <c r="I304" t="s">
        <v>156</v>
      </c>
      <c r="J304">
        <v>0.137973404</v>
      </c>
      <c r="K304">
        <v>24800</v>
      </c>
      <c r="L304">
        <v>137475.64</v>
      </c>
      <c r="M304">
        <v>17697.75</v>
      </c>
      <c r="N304">
        <v>5.23</v>
      </c>
      <c r="O304">
        <v>129704</v>
      </c>
      <c r="P304">
        <v>17895.7</v>
      </c>
      <c r="Q304">
        <v>0</v>
      </c>
      <c r="R304">
        <v>0</v>
      </c>
      <c r="S304">
        <v>0.009</v>
      </c>
      <c r="T304" t="s">
        <v>25</v>
      </c>
    </row>
    <row r="305" spans="1:20" ht="15">
      <c r="A305" t="s">
        <v>19</v>
      </c>
      <c r="B305" t="s">
        <v>20</v>
      </c>
      <c r="C305" t="str">
        <f t="shared" si="4"/>
        <v>31-Dec-21</v>
      </c>
      <c r="D305" t="s">
        <v>21</v>
      </c>
      <c r="E305" t="s">
        <v>22</v>
      </c>
      <c r="F305" t="str">
        <f>"BP3R2V7"</f>
        <v>BP3R2V7</v>
      </c>
      <c r="G305" t="s">
        <v>332</v>
      </c>
      <c r="I305" t="s">
        <v>156</v>
      </c>
      <c r="J305">
        <v>0.137973404</v>
      </c>
      <c r="K305">
        <v>13923</v>
      </c>
      <c r="L305">
        <v>434544.17</v>
      </c>
      <c r="M305">
        <v>55346.62</v>
      </c>
      <c r="N305">
        <v>41.46</v>
      </c>
      <c r="O305">
        <v>577247.58</v>
      </c>
      <c r="P305">
        <v>79644.81</v>
      </c>
      <c r="Q305">
        <v>0</v>
      </c>
      <c r="R305">
        <v>0</v>
      </c>
      <c r="S305">
        <v>0.039</v>
      </c>
      <c r="T305" t="s">
        <v>25</v>
      </c>
    </row>
    <row r="306" spans="1:20" ht="15">
      <c r="A306" t="s">
        <v>19</v>
      </c>
      <c r="B306" t="s">
        <v>20</v>
      </c>
      <c r="C306" t="str">
        <f t="shared" si="4"/>
        <v>31-Dec-21</v>
      </c>
      <c r="D306" t="s">
        <v>21</v>
      </c>
      <c r="E306" t="s">
        <v>22</v>
      </c>
      <c r="F306" t="str">
        <f>"BD5CLB9"</f>
        <v>BD5CLB9</v>
      </c>
      <c r="G306" t="s">
        <v>333</v>
      </c>
      <c r="I306" t="s">
        <v>156</v>
      </c>
      <c r="J306">
        <v>0.137973404</v>
      </c>
      <c r="K306">
        <v>7524</v>
      </c>
      <c r="L306">
        <v>248058.02</v>
      </c>
      <c r="M306">
        <v>31552.53</v>
      </c>
      <c r="N306">
        <v>35.83</v>
      </c>
      <c r="O306">
        <v>269584.92</v>
      </c>
      <c r="P306">
        <v>37195.55</v>
      </c>
      <c r="Q306">
        <v>0</v>
      </c>
      <c r="R306">
        <v>0</v>
      </c>
      <c r="S306">
        <v>0.018</v>
      </c>
      <c r="T306" t="s">
        <v>25</v>
      </c>
    </row>
    <row r="307" spans="1:20" ht="15">
      <c r="A307" t="s">
        <v>19</v>
      </c>
      <c r="B307" t="s">
        <v>20</v>
      </c>
      <c r="C307" t="str">
        <f t="shared" si="4"/>
        <v>31-Dec-21</v>
      </c>
      <c r="D307" t="s">
        <v>21</v>
      </c>
      <c r="E307" t="s">
        <v>22</v>
      </c>
      <c r="F307" t="str">
        <f>"BMTCVT6"</f>
        <v>BMTCVT6</v>
      </c>
      <c r="G307" t="s">
        <v>334</v>
      </c>
      <c r="I307" t="s">
        <v>156</v>
      </c>
      <c r="J307">
        <v>0.137973404</v>
      </c>
      <c r="K307">
        <v>2250</v>
      </c>
      <c r="L307">
        <v>172544.97</v>
      </c>
      <c r="M307">
        <v>21993.58</v>
      </c>
      <c r="N307">
        <v>57.84</v>
      </c>
      <c r="O307">
        <v>130140</v>
      </c>
      <c r="P307">
        <v>17955.86</v>
      </c>
      <c r="Q307">
        <v>0</v>
      </c>
      <c r="R307">
        <v>0</v>
      </c>
      <c r="S307">
        <v>0.009</v>
      </c>
      <c r="T307" t="s">
        <v>25</v>
      </c>
    </row>
    <row r="308" spans="1:20" ht="15">
      <c r="A308" t="s">
        <v>19</v>
      </c>
      <c r="B308" t="s">
        <v>20</v>
      </c>
      <c r="C308" t="str">
        <f t="shared" si="4"/>
        <v>31-Dec-21</v>
      </c>
      <c r="D308" t="s">
        <v>21</v>
      </c>
      <c r="E308" t="s">
        <v>22</v>
      </c>
      <c r="F308" t="str">
        <f>"BMVB500"</f>
        <v>BMVB500</v>
      </c>
      <c r="G308" t="s">
        <v>335</v>
      </c>
      <c r="I308" t="s">
        <v>156</v>
      </c>
      <c r="J308">
        <v>0.137973404</v>
      </c>
      <c r="K308">
        <v>3100</v>
      </c>
      <c r="L308">
        <v>84371.32</v>
      </c>
      <c r="M308">
        <v>10861.44</v>
      </c>
      <c r="N308">
        <v>92.7</v>
      </c>
      <c r="O308">
        <v>287370</v>
      </c>
      <c r="P308">
        <v>39649.42</v>
      </c>
      <c r="Q308">
        <v>0</v>
      </c>
      <c r="R308">
        <v>0</v>
      </c>
      <c r="S308">
        <v>0.02</v>
      </c>
      <c r="T308" t="s">
        <v>25</v>
      </c>
    </row>
    <row r="309" spans="1:20" ht="15">
      <c r="A309" t="s">
        <v>19</v>
      </c>
      <c r="B309" t="s">
        <v>20</v>
      </c>
      <c r="C309" t="str">
        <f t="shared" si="4"/>
        <v>31-Dec-21</v>
      </c>
      <c r="D309" t="s">
        <v>21</v>
      </c>
      <c r="E309" t="s">
        <v>22</v>
      </c>
      <c r="F309" t="str">
        <f>"BP3RCQ2"</f>
        <v>BP3RCQ2</v>
      </c>
      <c r="G309" t="s">
        <v>336</v>
      </c>
      <c r="I309" t="s">
        <v>156</v>
      </c>
      <c r="J309">
        <v>0.137973404</v>
      </c>
      <c r="K309">
        <v>5500</v>
      </c>
      <c r="L309">
        <v>186673.56</v>
      </c>
      <c r="M309">
        <v>24031.19</v>
      </c>
      <c r="N309">
        <v>31.02</v>
      </c>
      <c r="O309">
        <v>170610</v>
      </c>
      <c r="P309">
        <v>23539.64</v>
      </c>
      <c r="Q309">
        <v>0</v>
      </c>
      <c r="R309">
        <v>0</v>
      </c>
      <c r="S309">
        <v>0.012</v>
      </c>
      <c r="T309" t="s">
        <v>25</v>
      </c>
    </row>
    <row r="310" spans="1:20" ht="15">
      <c r="A310" t="s">
        <v>19</v>
      </c>
      <c r="B310" t="s">
        <v>20</v>
      </c>
      <c r="C310" t="str">
        <f t="shared" si="4"/>
        <v>31-Dec-21</v>
      </c>
      <c r="D310" t="s">
        <v>21</v>
      </c>
      <c r="E310" t="s">
        <v>22</v>
      </c>
      <c r="F310" t="str">
        <f>"BFY8H03"</f>
        <v>BFY8H03</v>
      </c>
      <c r="G310" t="s">
        <v>337</v>
      </c>
      <c r="I310" t="s">
        <v>156</v>
      </c>
      <c r="J310">
        <v>0.137973404</v>
      </c>
      <c r="K310">
        <v>3420</v>
      </c>
      <c r="L310">
        <v>170577.9</v>
      </c>
      <c r="M310">
        <v>21917</v>
      </c>
      <c r="N310">
        <v>53.3</v>
      </c>
      <c r="O310">
        <v>182286</v>
      </c>
      <c r="P310">
        <v>25150.62</v>
      </c>
      <c r="Q310">
        <v>0</v>
      </c>
      <c r="R310">
        <v>0</v>
      </c>
      <c r="S310">
        <v>0.012</v>
      </c>
      <c r="T310" t="s">
        <v>25</v>
      </c>
    </row>
    <row r="311" spans="1:20" ht="15">
      <c r="A311" t="s">
        <v>19</v>
      </c>
      <c r="B311" t="s">
        <v>20</v>
      </c>
      <c r="C311" t="str">
        <f t="shared" si="4"/>
        <v>31-Dec-21</v>
      </c>
      <c r="D311" t="s">
        <v>21</v>
      </c>
      <c r="E311" t="s">
        <v>22</v>
      </c>
      <c r="F311" t="str">
        <f>"BYW5R09"</f>
        <v>BYW5R09</v>
      </c>
      <c r="G311" t="s">
        <v>338</v>
      </c>
      <c r="I311" t="s">
        <v>156</v>
      </c>
      <c r="J311">
        <v>0.137973404</v>
      </c>
      <c r="K311">
        <v>2000</v>
      </c>
      <c r="L311">
        <v>156114.97</v>
      </c>
      <c r="M311">
        <v>19899.32</v>
      </c>
      <c r="N311">
        <v>77.16</v>
      </c>
      <c r="O311">
        <v>154320</v>
      </c>
      <c r="P311">
        <v>21292.06</v>
      </c>
      <c r="Q311">
        <v>0</v>
      </c>
      <c r="R311">
        <v>0</v>
      </c>
      <c r="S311">
        <v>0.011</v>
      </c>
      <c r="T311" t="s">
        <v>25</v>
      </c>
    </row>
    <row r="312" spans="1:20" ht="15">
      <c r="A312" t="s">
        <v>19</v>
      </c>
      <c r="B312" t="s">
        <v>20</v>
      </c>
      <c r="C312" t="str">
        <f t="shared" si="4"/>
        <v>31-Dec-21</v>
      </c>
      <c r="D312" t="s">
        <v>21</v>
      </c>
      <c r="E312" t="s">
        <v>22</v>
      </c>
      <c r="F312" t="str">
        <f>"BD5LSB5"</f>
        <v>BD5LSB5</v>
      </c>
      <c r="G312" t="s">
        <v>339</v>
      </c>
      <c r="I312" t="s">
        <v>156</v>
      </c>
      <c r="J312">
        <v>0.137973404</v>
      </c>
      <c r="K312">
        <v>11100</v>
      </c>
      <c r="L312">
        <v>153606.45</v>
      </c>
      <c r="M312">
        <v>19774.33</v>
      </c>
      <c r="N312">
        <v>19.34</v>
      </c>
      <c r="O312">
        <v>214674</v>
      </c>
      <c r="P312">
        <v>29619.3</v>
      </c>
      <c r="Q312">
        <v>0</v>
      </c>
      <c r="R312">
        <v>0</v>
      </c>
      <c r="S312">
        <v>0.015</v>
      </c>
      <c r="T312" t="s">
        <v>25</v>
      </c>
    </row>
    <row r="313" spans="1:20" ht="15">
      <c r="A313" t="s">
        <v>19</v>
      </c>
      <c r="B313" t="s">
        <v>20</v>
      </c>
      <c r="C313" t="str">
        <f t="shared" si="4"/>
        <v>31-Dec-21</v>
      </c>
      <c r="D313" t="s">
        <v>21</v>
      </c>
      <c r="E313" t="s">
        <v>22</v>
      </c>
      <c r="F313" t="str">
        <f>"BP3RFJ6"</f>
        <v>BP3RFJ6</v>
      </c>
      <c r="G313" t="s">
        <v>340</v>
      </c>
      <c r="I313" t="s">
        <v>156</v>
      </c>
      <c r="J313">
        <v>0.137973404</v>
      </c>
      <c r="K313">
        <v>2876</v>
      </c>
      <c r="L313">
        <v>87709.22</v>
      </c>
      <c r="M313">
        <v>11240.97</v>
      </c>
      <c r="N313">
        <v>81.8</v>
      </c>
      <c r="O313">
        <v>235256.8</v>
      </c>
      <c r="P313">
        <v>32459.18</v>
      </c>
      <c r="Q313">
        <v>0</v>
      </c>
      <c r="R313">
        <v>0</v>
      </c>
      <c r="S313">
        <v>0.016</v>
      </c>
      <c r="T313" t="s">
        <v>25</v>
      </c>
    </row>
    <row r="314" spans="1:20" ht="15">
      <c r="A314" t="s">
        <v>19</v>
      </c>
      <c r="B314" t="s">
        <v>20</v>
      </c>
      <c r="C314" t="str">
        <f t="shared" si="4"/>
        <v>31-Dec-21</v>
      </c>
      <c r="D314" t="s">
        <v>21</v>
      </c>
      <c r="E314" t="s">
        <v>22</v>
      </c>
      <c r="F314" t="str">
        <f>"BP3R369"</f>
        <v>BP3R369</v>
      </c>
      <c r="G314" t="s">
        <v>341</v>
      </c>
      <c r="I314" t="s">
        <v>156</v>
      </c>
      <c r="J314">
        <v>0.137973404</v>
      </c>
      <c r="K314">
        <v>14832</v>
      </c>
      <c r="L314">
        <v>948313.57</v>
      </c>
      <c r="M314">
        <v>120949.22</v>
      </c>
      <c r="N314">
        <v>50.71</v>
      </c>
      <c r="O314">
        <v>752130.72</v>
      </c>
      <c r="P314">
        <v>103774.04</v>
      </c>
      <c r="Q314">
        <v>0</v>
      </c>
      <c r="R314">
        <v>0</v>
      </c>
      <c r="S314">
        <v>0.051</v>
      </c>
      <c r="T314" t="s">
        <v>25</v>
      </c>
    </row>
    <row r="315" spans="1:20" ht="15">
      <c r="A315" t="s">
        <v>19</v>
      </c>
      <c r="B315" t="s">
        <v>20</v>
      </c>
      <c r="C315" t="str">
        <f t="shared" si="4"/>
        <v>31-Dec-21</v>
      </c>
      <c r="D315" t="s">
        <v>21</v>
      </c>
      <c r="E315" t="s">
        <v>22</v>
      </c>
      <c r="F315" t="str">
        <f>"BTFRHZ2"</f>
        <v>BTFRHZ2</v>
      </c>
      <c r="G315" t="s">
        <v>342</v>
      </c>
      <c r="I315" t="s">
        <v>156</v>
      </c>
      <c r="J315">
        <v>0.137973404</v>
      </c>
      <c r="K315">
        <v>1200</v>
      </c>
      <c r="L315">
        <v>48099.51</v>
      </c>
      <c r="M315">
        <v>6170.16</v>
      </c>
      <c r="N315">
        <v>54.4</v>
      </c>
      <c r="O315">
        <v>65280</v>
      </c>
      <c r="P315">
        <v>9006.9</v>
      </c>
      <c r="Q315">
        <v>0</v>
      </c>
      <c r="R315">
        <v>0</v>
      </c>
      <c r="S315">
        <v>0.004</v>
      </c>
      <c r="T315" t="s">
        <v>25</v>
      </c>
    </row>
    <row r="316" spans="1:20" ht="15">
      <c r="A316" t="s">
        <v>19</v>
      </c>
      <c r="B316" t="s">
        <v>20</v>
      </c>
      <c r="C316" t="str">
        <f t="shared" si="4"/>
        <v>31-Dec-21</v>
      </c>
      <c r="D316" t="s">
        <v>21</v>
      </c>
      <c r="E316" t="s">
        <v>22</v>
      </c>
      <c r="F316" t="str">
        <f>"BD5CPF1"</f>
        <v>BD5CPF1</v>
      </c>
      <c r="G316" t="s">
        <v>343</v>
      </c>
      <c r="I316" t="s">
        <v>156</v>
      </c>
      <c r="J316">
        <v>0.137973404</v>
      </c>
      <c r="K316">
        <v>3400</v>
      </c>
      <c r="L316">
        <v>391701.71</v>
      </c>
      <c r="M316">
        <v>49863.06</v>
      </c>
      <c r="N316">
        <v>164.73</v>
      </c>
      <c r="O316">
        <v>560082</v>
      </c>
      <c r="P316">
        <v>77276.42</v>
      </c>
      <c r="Q316">
        <v>0</v>
      </c>
      <c r="R316">
        <v>0</v>
      </c>
      <c r="S316">
        <v>0.038</v>
      </c>
      <c r="T316" t="s">
        <v>25</v>
      </c>
    </row>
    <row r="317" spans="1:20" ht="15">
      <c r="A317" t="s">
        <v>19</v>
      </c>
      <c r="B317" t="s">
        <v>20</v>
      </c>
      <c r="C317" t="str">
        <f t="shared" si="4"/>
        <v>31-Dec-21</v>
      </c>
      <c r="D317" t="s">
        <v>21</v>
      </c>
      <c r="E317" t="s">
        <v>22</v>
      </c>
      <c r="F317" t="str">
        <f>"BP3RGP9"</f>
        <v>BP3RGP9</v>
      </c>
      <c r="G317" t="s">
        <v>344</v>
      </c>
      <c r="I317" t="s">
        <v>156</v>
      </c>
      <c r="J317">
        <v>0.137973404</v>
      </c>
      <c r="K317">
        <v>1100</v>
      </c>
      <c r="L317">
        <v>133449.14</v>
      </c>
      <c r="M317">
        <v>17179.41</v>
      </c>
      <c r="N317">
        <v>131.2</v>
      </c>
      <c r="O317">
        <v>144320</v>
      </c>
      <c r="P317">
        <v>19912.32</v>
      </c>
      <c r="Q317">
        <v>0</v>
      </c>
      <c r="R317">
        <v>0</v>
      </c>
      <c r="S317">
        <v>0.01</v>
      </c>
      <c r="T317" t="s">
        <v>25</v>
      </c>
    </row>
    <row r="318" spans="1:20" ht="15">
      <c r="A318" t="s">
        <v>19</v>
      </c>
      <c r="B318" t="s">
        <v>20</v>
      </c>
      <c r="C318" t="str">
        <f t="shared" si="4"/>
        <v>31-Dec-21</v>
      </c>
      <c r="D318" t="s">
        <v>21</v>
      </c>
      <c r="E318" t="s">
        <v>22</v>
      </c>
      <c r="F318" t="str">
        <f>"BD5CJM6"</f>
        <v>BD5CJM6</v>
      </c>
      <c r="G318" t="s">
        <v>345</v>
      </c>
      <c r="I318" t="s">
        <v>156</v>
      </c>
      <c r="J318">
        <v>0.137973404</v>
      </c>
      <c r="K318">
        <v>4600</v>
      </c>
      <c r="L318">
        <v>167056.35</v>
      </c>
      <c r="M318">
        <v>21464.53</v>
      </c>
      <c r="N318">
        <v>37.8</v>
      </c>
      <c r="O318">
        <v>173880</v>
      </c>
      <c r="P318">
        <v>23990.82</v>
      </c>
      <c r="Q318">
        <v>0</v>
      </c>
      <c r="R318">
        <v>0</v>
      </c>
      <c r="S318">
        <v>0.012</v>
      </c>
      <c r="T318" t="s">
        <v>25</v>
      </c>
    </row>
    <row r="319" spans="1:20" ht="15">
      <c r="A319" t="s">
        <v>19</v>
      </c>
      <c r="B319" t="s">
        <v>20</v>
      </c>
      <c r="C319" t="str">
        <f t="shared" si="4"/>
        <v>31-Dec-21</v>
      </c>
      <c r="D319" t="s">
        <v>21</v>
      </c>
      <c r="E319" t="s">
        <v>22</v>
      </c>
      <c r="F319" t="str">
        <f>"BP3R9T4"</f>
        <v>BP3R9T4</v>
      </c>
      <c r="G319" t="s">
        <v>346</v>
      </c>
      <c r="I319" t="s">
        <v>156</v>
      </c>
      <c r="J319">
        <v>0.137973404</v>
      </c>
      <c r="K319">
        <v>1500</v>
      </c>
      <c r="L319">
        <v>14429.54</v>
      </c>
      <c r="M319">
        <v>1854</v>
      </c>
      <c r="N319">
        <v>16.96</v>
      </c>
      <c r="O319">
        <v>25440</v>
      </c>
      <c r="P319">
        <v>3510.04</v>
      </c>
      <c r="Q319">
        <v>0</v>
      </c>
      <c r="R319">
        <v>0</v>
      </c>
      <c r="S319">
        <v>0.002</v>
      </c>
      <c r="T319" t="s">
        <v>25</v>
      </c>
    </row>
    <row r="320" spans="1:20" ht="15">
      <c r="A320" t="s">
        <v>19</v>
      </c>
      <c r="B320" t="s">
        <v>20</v>
      </c>
      <c r="C320" t="str">
        <f t="shared" si="4"/>
        <v>31-Dec-21</v>
      </c>
      <c r="D320" t="s">
        <v>21</v>
      </c>
      <c r="E320" t="s">
        <v>22</v>
      </c>
      <c r="F320" t="str">
        <f>"BP3R4R7"</f>
        <v>BP3R4R7</v>
      </c>
      <c r="G320" t="s">
        <v>347</v>
      </c>
      <c r="I320" t="s">
        <v>156</v>
      </c>
      <c r="J320">
        <v>0.137973404</v>
      </c>
      <c r="K320">
        <v>4400</v>
      </c>
      <c r="L320">
        <v>58709.72</v>
      </c>
      <c r="M320">
        <v>7416.26</v>
      </c>
      <c r="N320">
        <v>22.33</v>
      </c>
      <c r="O320">
        <v>98252</v>
      </c>
      <c r="P320">
        <v>13556.16</v>
      </c>
      <c r="Q320">
        <v>0</v>
      </c>
      <c r="R320">
        <v>0</v>
      </c>
      <c r="S320">
        <v>0.007</v>
      </c>
      <c r="T320" t="s">
        <v>25</v>
      </c>
    </row>
    <row r="321" spans="1:20" ht="15">
      <c r="A321" t="s">
        <v>19</v>
      </c>
      <c r="B321" t="s">
        <v>20</v>
      </c>
      <c r="C321" t="str">
        <f t="shared" si="4"/>
        <v>31-Dec-21</v>
      </c>
      <c r="D321" t="s">
        <v>21</v>
      </c>
      <c r="E321" t="s">
        <v>22</v>
      </c>
      <c r="F321" t="str">
        <f>"BD5LZ81"</f>
        <v>BD5LZ81</v>
      </c>
      <c r="G321" t="s">
        <v>348</v>
      </c>
      <c r="I321" t="s">
        <v>156</v>
      </c>
      <c r="J321">
        <v>0.137973404</v>
      </c>
      <c r="K321">
        <v>10600</v>
      </c>
      <c r="L321">
        <v>165864.82</v>
      </c>
      <c r="M321">
        <v>21410.64</v>
      </c>
      <c r="N321">
        <v>9.66</v>
      </c>
      <c r="O321">
        <v>102396</v>
      </c>
      <c r="P321">
        <v>14127.92</v>
      </c>
      <c r="Q321">
        <v>0</v>
      </c>
      <c r="R321">
        <v>0</v>
      </c>
      <c r="S321">
        <v>0.007</v>
      </c>
      <c r="T321" t="s">
        <v>25</v>
      </c>
    </row>
    <row r="322" spans="1:20" ht="15">
      <c r="A322" t="s">
        <v>19</v>
      </c>
      <c r="B322" t="s">
        <v>20</v>
      </c>
      <c r="C322" t="str">
        <f aca="true" t="shared" si="5" ref="C322:C385">"31-Dec-21"</f>
        <v>31-Dec-21</v>
      </c>
      <c r="D322" t="s">
        <v>21</v>
      </c>
      <c r="E322" t="s">
        <v>22</v>
      </c>
      <c r="F322" t="str">
        <f>"BD5CKX4"</f>
        <v>BD5CKX4</v>
      </c>
      <c r="G322" t="s">
        <v>349</v>
      </c>
      <c r="I322" t="s">
        <v>156</v>
      </c>
      <c r="J322">
        <v>0.137973404</v>
      </c>
      <c r="K322">
        <v>11400</v>
      </c>
      <c r="L322">
        <v>74349.34</v>
      </c>
      <c r="M322">
        <v>9625.43</v>
      </c>
      <c r="N322">
        <v>4.48</v>
      </c>
      <c r="O322">
        <v>51072</v>
      </c>
      <c r="P322">
        <v>7046.58</v>
      </c>
      <c r="Q322">
        <v>0</v>
      </c>
      <c r="R322">
        <v>0</v>
      </c>
      <c r="S322">
        <v>0.003</v>
      </c>
      <c r="T322" t="s">
        <v>25</v>
      </c>
    </row>
    <row r="323" spans="1:20" ht="15">
      <c r="A323" t="s">
        <v>19</v>
      </c>
      <c r="B323" t="s">
        <v>20</v>
      </c>
      <c r="C323" t="str">
        <f t="shared" si="5"/>
        <v>31-Dec-21</v>
      </c>
      <c r="D323" t="s">
        <v>21</v>
      </c>
      <c r="E323" t="s">
        <v>22</v>
      </c>
      <c r="F323" t="str">
        <f>"BD73KS0"</f>
        <v>BD73KS0</v>
      </c>
      <c r="G323" t="s">
        <v>350</v>
      </c>
      <c r="I323" t="s">
        <v>156</v>
      </c>
      <c r="J323">
        <v>0.137973404</v>
      </c>
      <c r="K323">
        <v>1100</v>
      </c>
      <c r="L323">
        <v>158177.22</v>
      </c>
      <c r="M323">
        <v>20362.75</v>
      </c>
      <c r="N323">
        <v>212.5</v>
      </c>
      <c r="O323">
        <v>233750</v>
      </c>
      <c r="P323">
        <v>32251.28</v>
      </c>
      <c r="Q323">
        <v>0</v>
      </c>
      <c r="R323">
        <v>0</v>
      </c>
      <c r="S323">
        <v>0.016</v>
      </c>
      <c r="T323" t="s">
        <v>25</v>
      </c>
    </row>
    <row r="324" spans="1:20" ht="15">
      <c r="A324" t="s">
        <v>19</v>
      </c>
      <c r="B324" t="s">
        <v>20</v>
      </c>
      <c r="C324" t="str">
        <f t="shared" si="5"/>
        <v>31-Dec-21</v>
      </c>
      <c r="D324" t="s">
        <v>21</v>
      </c>
      <c r="E324" t="s">
        <v>22</v>
      </c>
      <c r="F324" t="str">
        <f>"BP3R541"</f>
        <v>BP3R541</v>
      </c>
      <c r="G324" t="s">
        <v>351</v>
      </c>
      <c r="I324" t="s">
        <v>156</v>
      </c>
      <c r="J324">
        <v>0.137973404</v>
      </c>
      <c r="K324">
        <v>6700</v>
      </c>
      <c r="L324">
        <v>120204.13</v>
      </c>
      <c r="M324">
        <v>15184.28</v>
      </c>
      <c r="N324">
        <v>14.72</v>
      </c>
      <c r="O324">
        <v>98624</v>
      </c>
      <c r="P324">
        <v>13607.49</v>
      </c>
      <c r="Q324">
        <v>0</v>
      </c>
      <c r="R324">
        <v>0</v>
      </c>
      <c r="S324">
        <v>0.007</v>
      </c>
      <c r="T324" t="s">
        <v>25</v>
      </c>
    </row>
    <row r="325" spans="1:20" ht="15">
      <c r="A325" t="s">
        <v>19</v>
      </c>
      <c r="B325" t="s">
        <v>20</v>
      </c>
      <c r="C325" t="str">
        <f t="shared" si="5"/>
        <v>31-Dec-21</v>
      </c>
      <c r="D325" t="s">
        <v>21</v>
      </c>
      <c r="E325" t="s">
        <v>22</v>
      </c>
      <c r="F325" t="str">
        <f>"BP3RB10"</f>
        <v>BP3RB10</v>
      </c>
      <c r="G325" t="s">
        <v>352</v>
      </c>
      <c r="I325" t="s">
        <v>156</v>
      </c>
      <c r="J325">
        <v>0.137973404</v>
      </c>
      <c r="K325">
        <v>3000</v>
      </c>
      <c r="L325">
        <v>170285.91</v>
      </c>
      <c r="M325">
        <v>21836.53</v>
      </c>
      <c r="N325">
        <v>37.97</v>
      </c>
      <c r="O325">
        <v>113910</v>
      </c>
      <c r="P325">
        <v>15716.55</v>
      </c>
      <c r="Q325">
        <v>0</v>
      </c>
      <c r="R325">
        <v>0</v>
      </c>
      <c r="S325">
        <v>0.008</v>
      </c>
      <c r="T325" t="s">
        <v>25</v>
      </c>
    </row>
    <row r="326" spans="1:20" ht="15">
      <c r="A326" t="s">
        <v>19</v>
      </c>
      <c r="B326" t="s">
        <v>20</v>
      </c>
      <c r="C326" t="str">
        <f t="shared" si="5"/>
        <v>31-Dec-21</v>
      </c>
      <c r="D326" t="s">
        <v>21</v>
      </c>
      <c r="E326" t="s">
        <v>22</v>
      </c>
      <c r="F326" t="str">
        <f>"BD5CCS3"</f>
        <v>BD5CCS3</v>
      </c>
      <c r="G326" t="s">
        <v>353</v>
      </c>
      <c r="I326" t="s">
        <v>156</v>
      </c>
      <c r="J326">
        <v>0.137973404</v>
      </c>
      <c r="K326">
        <v>2700</v>
      </c>
      <c r="L326">
        <v>94840.66</v>
      </c>
      <c r="M326">
        <v>11980.35</v>
      </c>
      <c r="N326">
        <v>23.2</v>
      </c>
      <c r="O326">
        <v>62640</v>
      </c>
      <c r="P326">
        <v>8642.65</v>
      </c>
      <c r="Q326">
        <v>0</v>
      </c>
      <c r="R326">
        <v>0</v>
      </c>
      <c r="S326">
        <v>0.004</v>
      </c>
      <c r="T326" t="s">
        <v>25</v>
      </c>
    </row>
    <row r="327" spans="1:20" ht="15">
      <c r="A327" t="s">
        <v>19</v>
      </c>
      <c r="B327" t="s">
        <v>20</v>
      </c>
      <c r="C327" t="str">
        <f t="shared" si="5"/>
        <v>31-Dec-21</v>
      </c>
      <c r="D327" t="s">
        <v>21</v>
      </c>
      <c r="E327" t="s">
        <v>22</v>
      </c>
      <c r="F327" t="str">
        <f>"BP3R8H5"</f>
        <v>BP3R8H5</v>
      </c>
      <c r="G327" t="s">
        <v>354</v>
      </c>
      <c r="I327" t="s">
        <v>156</v>
      </c>
      <c r="J327">
        <v>0.137973404</v>
      </c>
      <c r="K327">
        <v>9000</v>
      </c>
      <c r="L327">
        <v>151166.06</v>
      </c>
      <c r="M327">
        <v>18858.47</v>
      </c>
      <c r="N327">
        <v>12.58</v>
      </c>
      <c r="O327">
        <v>113220</v>
      </c>
      <c r="P327">
        <v>15621.35</v>
      </c>
      <c r="Q327">
        <v>0</v>
      </c>
      <c r="R327">
        <v>0</v>
      </c>
      <c r="S327">
        <v>0.008</v>
      </c>
      <c r="T327" t="s">
        <v>25</v>
      </c>
    </row>
    <row r="328" spans="1:20" ht="15">
      <c r="A328" t="s">
        <v>19</v>
      </c>
      <c r="B328" t="s">
        <v>20</v>
      </c>
      <c r="C328" t="str">
        <f t="shared" si="5"/>
        <v>31-Dec-21</v>
      </c>
      <c r="D328" t="s">
        <v>21</v>
      </c>
      <c r="E328" t="s">
        <v>22</v>
      </c>
      <c r="F328" t="str">
        <f>"BD5CBF3"</f>
        <v>BD5CBF3</v>
      </c>
      <c r="G328" t="s">
        <v>355</v>
      </c>
      <c r="I328" t="s">
        <v>156</v>
      </c>
      <c r="J328">
        <v>0.137973404</v>
      </c>
      <c r="K328">
        <v>9700</v>
      </c>
      <c r="L328">
        <v>196738.68</v>
      </c>
      <c r="M328">
        <v>25077.45</v>
      </c>
      <c r="N328">
        <v>24.01</v>
      </c>
      <c r="O328">
        <v>232897</v>
      </c>
      <c r="P328">
        <v>32133.59</v>
      </c>
      <c r="Q328">
        <v>0</v>
      </c>
      <c r="R328">
        <v>0</v>
      </c>
      <c r="S328">
        <v>0.016</v>
      </c>
      <c r="T328" t="s">
        <v>25</v>
      </c>
    </row>
    <row r="329" spans="1:20" ht="15">
      <c r="A329" t="s">
        <v>19</v>
      </c>
      <c r="B329" t="s">
        <v>20</v>
      </c>
      <c r="C329" t="str">
        <f t="shared" si="5"/>
        <v>31-Dec-21</v>
      </c>
      <c r="D329" t="s">
        <v>21</v>
      </c>
      <c r="E329" t="s">
        <v>22</v>
      </c>
      <c r="F329" t="str">
        <f>"BP3R2F1"</f>
        <v>BP3R2F1</v>
      </c>
      <c r="G329" t="s">
        <v>356</v>
      </c>
      <c r="I329" t="s">
        <v>156</v>
      </c>
      <c r="J329">
        <v>0.137973404</v>
      </c>
      <c r="K329">
        <v>2700</v>
      </c>
      <c r="L329">
        <v>3341205.74</v>
      </c>
      <c r="M329">
        <v>426332.06</v>
      </c>
      <c r="N329">
        <v>2050</v>
      </c>
      <c r="O329">
        <v>5535000</v>
      </c>
      <c r="P329">
        <v>763682.79</v>
      </c>
      <c r="Q329">
        <v>0</v>
      </c>
      <c r="R329">
        <v>0</v>
      </c>
      <c r="S329">
        <v>0.379</v>
      </c>
      <c r="T329" t="s">
        <v>25</v>
      </c>
    </row>
    <row r="330" spans="1:20" ht="15">
      <c r="A330" t="s">
        <v>19</v>
      </c>
      <c r="B330" t="s">
        <v>20</v>
      </c>
      <c r="C330" t="str">
        <f t="shared" si="5"/>
        <v>31-Dec-21</v>
      </c>
      <c r="D330" t="s">
        <v>21</v>
      </c>
      <c r="E330" t="s">
        <v>22</v>
      </c>
      <c r="F330" t="str">
        <f>"BD5LS71"</f>
        <v>BD5LS71</v>
      </c>
      <c r="G330" t="s">
        <v>357</v>
      </c>
      <c r="I330" t="s">
        <v>156</v>
      </c>
      <c r="J330">
        <v>0.137973404</v>
      </c>
      <c r="K330">
        <v>7300</v>
      </c>
      <c r="L330">
        <v>131310.52</v>
      </c>
      <c r="M330">
        <v>16587.25</v>
      </c>
      <c r="N330">
        <v>28.59</v>
      </c>
      <c r="O330">
        <v>208707</v>
      </c>
      <c r="P330">
        <v>28796.02</v>
      </c>
      <c r="Q330">
        <v>0</v>
      </c>
      <c r="R330">
        <v>0</v>
      </c>
      <c r="S330">
        <v>0.014</v>
      </c>
      <c r="T330" t="s">
        <v>25</v>
      </c>
    </row>
    <row r="331" spans="1:20" ht="15">
      <c r="A331" t="s">
        <v>19</v>
      </c>
      <c r="B331" t="s">
        <v>20</v>
      </c>
      <c r="C331" t="str">
        <f t="shared" si="5"/>
        <v>31-Dec-21</v>
      </c>
      <c r="D331" t="s">
        <v>21</v>
      </c>
      <c r="E331" t="s">
        <v>22</v>
      </c>
      <c r="F331" t="str">
        <f>"BRTL411"</f>
        <v>BRTL411</v>
      </c>
      <c r="G331" t="s">
        <v>358</v>
      </c>
      <c r="I331" t="s">
        <v>156</v>
      </c>
      <c r="J331">
        <v>0.137973404</v>
      </c>
      <c r="K331">
        <v>12780</v>
      </c>
      <c r="L331">
        <v>341423.22</v>
      </c>
      <c r="M331">
        <v>43389.73</v>
      </c>
      <c r="N331">
        <v>86.2</v>
      </c>
      <c r="O331">
        <v>1101636</v>
      </c>
      <c r="P331">
        <v>151996.47</v>
      </c>
      <c r="Q331">
        <v>0</v>
      </c>
      <c r="R331">
        <v>0</v>
      </c>
      <c r="S331">
        <v>0.075</v>
      </c>
      <c r="T331" t="s">
        <v>25</v>
      </c>
    </row>
    <row r="332" spans="1:20" ht="15">
      <c r="A332" t="s">
        <v>19</v>
      </c>
      <c r="B332" t="s">
        <v>20</v>
      </c>
      <c r="C332" t="str">
        <f t="shared" si="5"/>
        <v>31-Dec-21</v>
      </c>
      <c r="D332" t="s">
        <v>21</v>
      </c>
      <c r="E332" t="s">
        <v>22</v>
      </c>
      <c r="F332" t="str">
        <f>"BYZW4H3"</f>
        <v>BYZW4H3</v>
      </c>
      <c r="G332" t="s">
        <v>359</v>
      </c>
      <c r="I332" t="s">
        <v>156</v>
      </c>
      <c r="J332">
        <v>0.137973404</v>
      </c>
      <c r="K332">
        <v>1600</v>
      </c>
      <c r="L332">
        <v>113300.92</v>
      </c>
      <c r="M332">
        <v>14441.99</v>
      </c>
      <c r="N332">
        <v>49.38</v>
      </c>
      <c r="O332">
        <v>79008</v>
      </c>
      <c r="P332">
        <v>10901</v>
      </c>
      <c r="Q332">
        <v>0</v>
      </c>
      <c r="R332">
        <v>0</v>
      </c>
      <c r="S332">
        <v>0.005</v>
      </c>
      <c r="T332" t="s">
        <v>25</v>
      </c>
    </row>
    <row r="333" spans="1:20" ht="15">
      <c r="A333" t="s">
        <v>19</v>
      </c>
      <c r="B333" t="s">
        <v>20</v>
      </c>
      <c r="C333" t="str">
        <f t="shared" si="5"/>
        <v>31-Dec-21</v>
      </c>
      <c r="D333" t="s">
        <v>21</v>
      </c>
      <c r="E333" t="s">
        <v>22</v>
      </c>
      <c r="F333" t="str">
        <f>"BD5CP17"</f>
        <v>BD5CP17</v>
      </c>
      <c r="G333" t="s">
        <v>360</v>
      </c>
      <c r="I333" t="s">
        <v>156</v>
      </c>
      <c r="J333">
        <v>0.137973404</v>
      </c>
      <c r="K333">
        <v>7700</v>
      </c>
      <c r="L333">
        <v>194533.88</v>
      </c>
      <c r="M333">
        <v>24894.07</v>
      </c>
      <c r="N333">
        <v>22.98</v>
      </c>
      <c r="O333">
        <v>176946</v>
      </c>
      <c r="P333">
        <v>24413.84</v>
      </c>
      <c r="Q333">
        <v>0</v>
      </c>
      <c r="R333">
        <v>0</v>
      </c>
      <c r="S333">
        <v>0.012</v>
      </c>
      <c r="T333" t="s">
        <v>25</v>
      </c>
    </row>
    <row r="334" spans="1:20" ht="15">
      <c r="A334" t="s">
        <v>19</v>
      </c>
      <c r="B334" t="s">
        <v>20</v>
      </c>
      <c r="C334" t="str">
        <f t="shared" si="5"/>
        <v>31-Dec-21</v>
      </c>
      <c r="D334" t="s">
        <v>21</v>
      </c>
      <c r="E334" t="s">
        <v>22</v>
      </c>
      <c r="F334" t="str">
        <f>"BD5CHL1"</f>
        <v>BD5CHL1</v>
      </c>
      <c r="G334" t="s">
        <v>361</v>
      </c>
      <c r="I334" t="s">
        <v>156</v>
      </c>
      <c r="J334">
        <v>0.137973404</v>
      </c>
      <c r="K334">
        <v>47000</v>
      </c>
      <c r="L334">
        <v>196875.87</v>
      </c>
      <c r="M334">
        <v>24869.52</v>
      </c>
      <c r="N334">
        <v>2.46</v>
      </c>
      <c r="O334">
        <v>115620</v>
      </c>
      <c r="P334">
        <v>15952.49</v>
      </c>
      <c r="Q334">
        <v>0</v>
      </c>
      <c r="R334">
        <v>0</v>
      </c>
      <c r="S334">
        <v>0.008</v>
      </c>
      <c r="T334" t="s">
        <v>25</v>
      </c>
    </row>
    <row r="335" spans="1:20" ht="15">
      <c r="A335" t="s">
        <v>19</v>
      </c>
      <c r="B335" t="s">
        <v>20</v>
      </c>
      <c r="C335" t="str">
        <f t="shared" si="5"/>
        <v>31-Dec-21</v>
      </c>
      <c r="D335" t="s">
        <v>21</v>
      </c>
      <c r="E335" t="s">
        <v>22</v>
      </c>
      <c r="F335" t="str">
        <f>"BD5CDS0"</f>
        <v>BD5CDS0</v>
      </c>
      <c r="G335" t="s">
        <v>362</v>
      </c>
      <c r="I335" t="s">
        <v>156</v>
      </c>
      <c r="J335">
        <v>0.137973404</v>
      </c>
      <c r="K335">
        <v>4100</v>
      </c>
      <c r="L335">
        <v>100015.98</v>
      </c>
      <c r="M335">
        <v>12748.62</v>
      </c>
      <c r="N335">
        <v>17.97</v>
      </c>
      <c r="O335">
        <v>73677</v>
      </c>
      <c r="P335">
        <v>10165.47</v>
      </c>
      <c r="Q335">
        <v>0</v>
      </c>
      <c r="R335">
        <v>0</v>
      </c>
      <c r="S335">
        <v>0.005</v>
      </c>
      <c r="T335" t="s">
        <v>25</v>
      </c>
    </row>
    <row r="336" spans="1:20" ht="15">
      <c r="A336" t="s">
        <v>19</v>
      </c>
      <c r="B336" t="s">
        <v>20</v>
      </c>
      <c r="C336" t="str">
        <f t="shared" si="5"/>
        <v>31-Dec-21</v>
      </c>
      <c r="D336" t="s">
        <v>21</v>
      </c>
      <c r="E336" t="s">
        <v>22</v>
      </c>
      <c r="F336" t="str">
        <f>"BD5LQY4"</f>
        <v>BD5LQY4</v>
      </c>
      <c r="G336" t="s">
        <v>363</v>
      </c>
      <c r="I336" t="s">
        <v>156</v>
      </c>
      <c r="J336">
        <v>0.137973404</v>
      </c>
      <c r="K336">
        <v>24100</v>
      </c>
      <c r="L336">
        <v>256923.9</v>
      </c>
      <c r="M336">
        <v>32908.32</v>
      </c>
      <c r="N336">
        <v>7.36</v>
      </c>
      <c r="O336">
        <v>177376</v>
      </c>
      <c r="P336">
        <v>24473.17</v>
      </c>
      <c r="Q336">
        <v>0</v>
      </c>
      <c r="R336">
        <v>0</v>
      </c>
      <c r="S336">
        <v>0.012</v>
      </c>
      <c r="T336" t="s">
        <v>25</v>
      </c>
    </row>
    <row r="337" spans="1:20" ht="15">
      <c r="A337" t="s">
        <v>19</v>
      </c>
      <c r="B337" t="s">
        <v>20</v>
      </c>
      <c r="C337" t="str">
        <f t="shared" si="5"/>
        <v>31-Dec-21</v>
      </c>
      <c r="D337" t="s">
        <v>21</v>
      </c>
      <c r="E337" t="s">
        <v>22</v>
      </c>
      <c r="F337" t="str">
        <f>"BD5CN80"</f>
        <v>BD5CN80</v>
      </c>
      <c r="G337" t="s">
        <v>364</v>
      </c>
      <c r="I337" t="s">
        <v>156</v>
      </c>
      <c r="J337">
        <v>0.137973404</v>
      </c>
      <c r="K337">
        <v>16649</v>
      </c>
      <c r="L337">
        <v>503076.05</v>
      </c>
      <c r="M337">
        <v>64012.43</v>
      </c>
      <c r="N337">
        <v>49.2</v>
      </c>
      <c r="O337">
        <v>819130.8</v>
      </c>
      <c r="P337">
        <v>113018.27</v>
      </c>
      <c r="Q337">
        <v>0</v>
      </c>
      <c r="R337">
        <v>0</v>
      </c>
      <c r="S337">
        <v>0.056</v>
      </c>
      <c r="T337" t="s">
        <v>25</v>
      </c>
    </row>
    <row r="338" spans="1:20" ht="15">
      <c r="A338" t="s">
        <v>19</v>
      </c>
      <c r="B338" t="s">
        <v>20</v>
      </c>
      <c r="C338" t="str">
        <f t="shared" si="5"/>
        <v>31-Dec-21</v>
      </c>
      <c r="D338" t="s">
        <v>21</v>
      </c>
      <c r="E338" t="s">
        <v>22</v>
      </c>
      <c r="F338" t="str">
        <f>"BD5CMM7"</f>
        <v>BD5CMM7</v>
      </c>
      <c r="G338" t="s">
        <v>365</v>
      </c>
      <c r="I338" t="s">
        <v>156</v>
      </c>
      <c r="J338">
        <v>0.137973404</v>
      </c>
      <c r="K338">
        <v>3400</v>
      </c>
      <c r="L338">
        <v>306485.68</v>
      </c>
      <c r="M338">
        <v>39044.53</v>
      </c>
      <c r="N338">
        <v>253.87</v>
      </c>
      <c r="O338">
        <v>863158</v>
      </c>
      <c r="P338">
        <v>119092.85</v>
      </c>
      <c r="Q338">
        <v>0</v>
      </c>
      <c r="R338">
        <v>0</v>
      </c>
      <c r="S338">
        <v>0.059</v>
      </c>
      <c r="T338" t="s">
        <v>25</v>
      </c>
    </row>
    <row r="339" spans="1:20" ht="15">
      <c r="A339" t="s">
        <v>19</v>
      </c>
      <c r="B339" t="s">
        <v>20</v>
      </c>
      <c r="C339" t="str">
        <f t="shared" si="5"/>
        <v>31-Dec-21</v>
      </c>
      <c r="D339" t="s">
        <v>21</v>
      </c>
      <c r="E339" t="s">
        <v>22</v>
      </c>
      <c r="F339" t="str">
        <f>"BD5CDT1"</f>
        <v>BD5CDT1</v>
      </c>
      <c r="G339" t="s">
        <v>366</v>
      </c>
      <c r="I339" t="s">
        <v>156</v>
      </c>
      <c r="J339">
        <v>0.137973404</v>
      </c>
      <c r="K339">
        <v>2850</v>
      </c>
      <c r="L339">
        <v>79746.24</v>
      </c>
      <c r="M339">
        <v>10215.68</v>
      </c>
      <c r="N339">
        <v>57.22</v>
      </c>
      <c r="O339">
        <v>163077</v>
      </c>
      <c r="P339">
        <v>22500.29</v>
      </c>
      <c r="Q339">
        <v>0</v>
      </c>
      <c r="R339">
        <v>0</v>
      </c>
      <c r="S339">
        <v>0.011</v>
      </c>
      <c r="T339" t="s">
        <v>25</v>
      </c>
    </row>
    <row r="340" spans="1:20" ht="15">
      <c r="A340" t="s">
        <v>19</v>
      </c>
      <c r="B340" t="s">
        <v>20</v>
      </c>
      <c r="C340" t="str">
        <f t="shared" si="5"/>
        <v>31-Dec-21</v>
      </c>
      <c r="D340" t="s">
        <v>21</v>
      </c>
      <c r="E340" t="s">
        <v>22</v>
      </c>
      <c r="F340" t="str">
        <f>"BK4XS11"</f>
        <v>BK4XS11</v>
      </c>
      <c r="G340" t="s">
        <v>367</v>
      </c>
      <c r="I340" t="s">
        <v>156</v>
      </c>
      <c r="J340">
        <v>0.137973404</v>
      </c>
      <c r="K340">
        <v>1080</v>
      </c>
      <c r="L340">
        <v>234884.64</v>
      </c>
      <c r="M340">
        <v>29302.64</v>
      </c>
      <c r="N340">
        <v>326.8</v>
      </c>
      <c r="O340">
        <v>352944</v>
      </c>
      <c r="P340">
        <v>48696.89</v>
      </c>
      <c r="Q340">
        <v>0</v>
      </c>
      <c r="R340">
        <v>0</v>
      </c>
      <c r="S340">
        <v>0.024</v>
      </c>
      <c r="T340" t="s">
        <v>25</v>
      </c>
    </row>
    <row r="341" spans="1:20" ht="15">
      <c r="A341" t="s">
        <v>19</v>
      </c>
      <c r="B341" t="s">
        <v>20</v>
      </c>
      <c r="C341" t="str">
        <f t="shared" si="5"/>
        <v>31-Dec-21</v>
      </c>
      <c r="D341" t="s">
        <v>21</v>
      </c>
      <c r="E341" t="s">
        <v>22</v>
      </c>
      <c r="F341" t="str">
        <f>"BD73L10"</f>
        <v>BD73L10</v>
      </c>
      <c r="G341" t="s">
        <v>368</v>
      </c>
      <c r="I341" t="s">
        <v>156</v>
      </c>
      <c r="J341">
        <v>0.137973404</v>
      </c>
      <c r="K341">
        <v>15800</v>
      </c>
      <c r="L341">
        <v>247385.65</v>
      </c>
      <c r="M341">
        <v>31789</v>
      </c>
      <c r="N341">
        <v>7.85</v>
      </c>
      <c r="O341">
        <v>124030</v>
      </c>
      <c r="P341">
        <v>17112.84</v>
      </c>
      <c r="Q341">
        <v>0</v>
      </c>
      <c r="R341">
        <v>0</v>
      </c>
      <c r="S341">
        <v>0.008</v>
      </c>
      <c r="T341" t="s">
        <v>25</v>
      </c>
    </row>
    <row r="342" spans="1:20" ht="15">
      <c r="A342" t="s">
        <v>19</v>
      </c>
      <c r="B342" t="s">
        <v>20</v>
      </c>
      <c r="C342" t="str">
        <f t="shared" si="5"/>
        <v>31-Dec-21</v>
      </c>
      <c r="D342" t="s">
        <v>21</v>
      </c>
      <c r="E342" t="s">
        <v>22</v>
      </c>
      <c r="F342" t="str">
        <f>"BP3R4K0"</f>
        <v>BP3R4K0</v>
      </c>
      <c r="G342" t="s">
        <v>369</v>
      </c>
      <c r="I342" t="s">
        <v>156</v>
      </c>
      <c r="J342">
        <v>0.137973404</v>
      </c>
      <c r="K342">
        <v>23500</v>
      </c>
      <c r="L342">
        <v>67513.03</v>
      </c>
      <c r="M342">
        <v>8574.03</v>
      </c>
      <c r="N342">
        <v>3.83</v>
      </c>
      <c r="O342">
        <v>90005</v>
      </c>
      <c r="P342">
        <v>12418.3</v>
      </c>
      <c r="Q342">
        <v>0</v>
      </c>
      <c r="R342">
        <v>0</v>
      </c>
      <c r="S342">
        <v>0.006</v>
      </c>
      <c r="T342" t="s">
        <v>25</v>
      </c>
    </row>
    <row r="343" spans="1:20" ht="15">
      <c r="A343" t="s">
        <v>19</v>
      </c>
      <c r="B343" t="s">
        <v>20</v>
      </c>
      <c r="C343" t="str">
        <f t="shared" si="5"/>
        <v>31-Dec-21</v>
      </c>
      <c r="D343" t="s">
        <v>21</v>
      </c>
      <c r="E343" t="s">
        <v>22</v>
      </c>
      <c r="F343" t="str">
        <f>"BK71F77"</f>
        <v>BK71F77</v>
      </c>
      <c r="G343" t="s">
        <v>370</v>
      </c>
      <c r="I343" t="s">
        <v>156</v>
      </c>
      <c r="J343">
        <v>0.137973404</v>
      </c>
      <c r="K343">
        <v>3870</v>
      </c>
      <c r="L343">
        <v>252012.91</v>
      </c>
      <c r="M343">
        <v>32442.57</v>
      </c>
      <c r="N343">
        <v>83.87</v>
      </c>
      <c r="O343">
        <v>324576.9</v>
      </c>
      <c r="P343">
        <v>44782.98</v>
      </c>
      <c r="Q343">
        <v>0</v>
      </c>
      <c r="R343">
        <v>0</v>
      </c>
      <c r="S343">
        <v>0.022</v>
      </c>
      <c r="T343" t="s">
        <v>25</v>
      </c>
    </row>
    <row r="344" spans="1:20" ht="15">
      <c r="A344" t="s">
        <v>19</v>
      </c>
      <c r="B344" t="s">
        <v>20</v>
      </c>
      <c r="C344" t="str">
        <f t="shared" si="5"/>
        <v>31-Dec-21</v>
      </c>
      <c r="D344" t="s">
        <v>21</v>
      </c>
      <c r="E344" t="s">
        <v>22</v>
      </c>
      <c r="F344" t="str">
        <f>"BD5CJX7"</f>
        <v>BD5CJX7</v>
      </c>
      <c r="G344" t="s">
        <v>371</v>
      </c>
      <c r="I344" t="s">
        <v>156</v>
      </c>
      <c r="J344">
        <v>0.137973404</v>
      </c>
      <c r="K344">
        <v>11750</v>
      </c>
      <c r="L344">
        <v>445739.23</v>
      </c>
      <c r="M344">
        <v>56677.04</v>
      </c>
      <c r="N344">
        <v>53.36</v>
      </c>
      <c r="O344">
        <v>626980</v>
      </c>
      <c r="P344">
        <v>86506.57</v>
      </c>
      <c r="Q344">
        <v>0</v>
      </c>
      <c r="R344">
        <v>0</v>
      </c>
      <c r="S344">
        <v>0.043</v>
      </c>
      <c r="T344" t="s">
        <v>25</v>
      </c>
    </row>
    <row r="345" spans="1:20" ht="15">
      <c r="A345" t="s">
        <v>19</v>
      </c>
      <c r="B345" t="s">
        <v>20</v>
      </c>
      <c r="C345" t="str">
        <f t="shared" si="5"/>
        <v>31-Dec-21</v>
      </c>
      <c r="D345" t="s">
        <v>21</v>
      </c>
      <c r="E345" t="s">
        <v>22</v>
      </c>
      <c r="F345" t="str">
        <f>"BP3R444"</f>
        <v>BP3R444</v>
      </c>
      <c r="G345" t="s">
        <v>372</v>
      </c>
      <c r="I345" t="s">
        <v>156</v>
      </c>
      <c r="J345">
        <v>0.137973404</v>
      </c>
      <c r="K345">
        <v>15840</v>
      </c>
      <c r="L345">
        <v>270476.55</v>
      </c>
      <c r="M345">
        <v>34644.22</v>
      </c>
      <c r="N345">
        <v>40.03</v>
      </c>
      <c r="O345">
        <v>634075.2</v>
      </c>
      <c r="P345">
        <v>87485.51</v>
      </c>
      <c r="Q345">
        <v>0</v>
      </c>
      <c r="R345">
        <v>0</v>
      </c>
      <c r="S345">
        <v>0.043</v>
      </c>
      <c r="T345" t="s">
        <v>25</v>
      </c>
    </row>
    <row r="346" spans="1:20" ht="15">
      <c r="A346" t="s">
        <v>19</v>
      </c>
      <c r="B346" t="s">
        <v>20</v>
      </c>
      <c r="C346" t="str">
        <f t="shared" si="5"/>
        <v>31-Dec-21</v>
      </c>
      <c r="D346" t="s">
        <v>21</v>
      </c>
      <c r="E346" t="s">
        <v>22</v>
      </c>
      <c r="F346" t="str">
        <f>"BD5LYF1"</f>
        <v>BD5LYF1</v>
      </c>
      <c r="G346" t="s">
        <v>373</v>
      </c>
      <c r="I346" t="s">
        <v>156</v>
      </c>
      <c r="J346">
        <v>0.137973404</v>
      </c>
      <c r="K346">
        <v>1200</v>
      </c>
      <c r="L346">
        <v>107952.78</v>
      </c>
      <c r="M346">
        <v>13835.42</v>
      </c>
      <c r="N346">
        <v>347.02</v>
      </c>
      <c r="O346">
        <v>416424</v>
      </c>
      <c r="P346">
        <v>57455.44</v>
      </c>
      <c r="Q346">
        <v>0</v>
      </c>
      <c r="R346">
        <v>0</v>
      </c>
      <c r="S346">
        <v>0.028</v>
      </c>
      <c r="T346" t="s">
        <v>25</v>
      </c>
    </row>
    <row r="347" spans="1:20" ht="15">
      <c r="A347" t="s">
        <v>19</v>
      </c>
      <c r="B347" t="s">
        <v>20</v>
      </c>
      <c r="C347" t="str">
        <f t="shared" si="5"/>
        <v>31-Dec-21</v>
      </c>
      <c r="D347" t="s">
        <v>21</v>
      </c>
      <c r="E347" t="s">
        <v>22</v>
      </c>
      <c r="F347" t="str">
        <f>"BF2DZL7"</f>
        <v>BF2DZL7</v>
      </c>
      <c r="G347" t="s">
        <v>374</v>
      </c>
      <c r="I347" t="s">
        <v>156</v>
      </c>
      <c r="J347">
        <v>0.137973404</v>
      </c>
      <c r="K347">
        <v>108</v>
      </c>
      <c r="L347">
        <v>3926.02</v>
      </c>
      <c r="M347">
        <v>495.94</v>
      </c>
      <c r="N347">
        <v>42</v>
      </c>
      <c r="O347">
        <v>4536</v>
      </c>
      <c r="P347">
        <v>625.85</v>
      </c>
      <c r="Q347">
        <v>0</v>
      </c>
      <c r="R347">
        <v>0</v>
      </c>
      <c r="S347">
        <v>0</v>
      </c>
      <c r="T347" t="s">
        <v>25</v>
      </c>
    </row>
    <row r="348" spans="1:20" ht="15">
      <c r="A348" t="s">
        <v>19</v>
      </c>
      <c r="B348" t="s">
        <v>20</v>
      </c>
      <c r="C348" t="str">
        <f t="shared" si="5"/>
        <v>31-Dec-21</v>
      </c>
      <c r="D348" t="s">
        <v>21</v>
      </c>
      <c r="E348" t="s">
        <v>22</v>
      </c>
      <c r="F348" t="str">
        <f>"BD5CKR8"</f>
        <v>BD5CKR8</v>
      </c>
      <c r="G348" t="s">
        <v>375</v>
      </c>
      <c r="I348" t="s">
        <v>156</v>
      </c>
      <c r="J348">
        <v>0.137973404</v>
      </c>
      <c r="K348">
        <v>13200</v>
      </c>
      <c r="L348">
        <v>224536.6</v>
      </c>
      <c r="M348">
        <v>28301.95</v>
      </c>
      <c r="N348">
        <v>15.92</v>
      </c>
      <c r="O348">
        <v>210144</v>
      </c>
      <c r="P348">
        <v>28994.28</v>
      </c>
      <c r="Q348">
        <v>0</v>
      </c>
      <c r="R348">
        <v>0</v>
      </c>
      <c r="S348">
        <v>0.014</v>
      </c>
      <c r="T348" t="s">
        <v>25</v>
      </c>
    </row>
    <row r="349" spans="1:20" ht="15">
      <c r="A349" t="s">
        <v>19</v>
      </c>
      <c r="B349" t="s">
        <v>20</v>
      </c>
      <c r="C349" t="str">
        <f t="shared" si="5"/>
        <v>31-Dec-21</v>
      </c>
      <c r="D349" t="s">
        <v>21</v>
      </c>
      <c r="E349" t="s">
        <v>22</v>
      </c>
      <c r="F349" t="str">
        <f>"BP3R3F8"</f>
        <v>BP3R3F8</v>
      </c>
      <c r="G349" t="s">
        <v>376</v>
      </c>
      <c r="I349" t="s">
        <v>156</v>
      </c>
      <c r="J349">
        <v>0.137973404</v>
      </c>
      <c r="K349">
        <v>3600</v>
      </c>
      <c r="L349">
        <v>195195.34</v>
      </c>
      <c r="M349">
        <v>24960.27</v>
      </c>
      <c r="N349">
        <v>38.88</v>
      </c>
      <c r="O349">
        <v>139968</v>
      </c>
      <c r="P349">
        <v>19311.86</v>
      </c>
      <c r="Q349">
        <v>0</v>
      </c>
      <c r="R349">
        <v>0</v>
      </c>
      <c r="S349">
        <v>0.01</v>
      </c>
      <c r="T349" t="s">
        <v>25</v>
      </c>
    </row>
    <row r="350" spans="1:20" ht="15">
      <c r="A350" t="s">
        <v>19</v>
      </c>
      <c r="B350" t="s">
        <v>20</v>
      </c>
      <c r="C350" t="str">
        <f t="shared" si="5"/>
        <v>31-Dec-21</v>
      </c>
      <c r="D350" t="s">
        <v>21</v>
      </c>
      <c r="E350" t="s">
        <v>22</v>
      </c>
      <c r="F350" t="str">
        <f>"BD5CNF7"</f>
        <v>BD5CNF7</v>
      </c>
      <c r="G350" t="s">
        <v>377</v>
      </c>
      <c r="I350" t="s">
        <v>156</v>
      </c>
      <c r="J350">
        <v>0.137973404</v>
      </c>
      <c r="K350">
        <v>12700</v>
      </c>
      <c r="L350">
        <v>235187</v>
      </c>
      <c r="M350">
        <v>30124.13</v>
      </c>
      <c r="N350">
        <v>15.21</v>
      </c>
      <c r="O350">
        <v>193167</v>
      </c>
      <c r="P350">
        <v>26651.91</v>
      </c>
      <c r="Q350">
        <v>0</v>
      </c>
      <c r="R350">
        <v>0</v>
      </c>
      <c r="S350">
        <v>0.013</v>
      </c>
      <c r="T350" t="s">
        <v>25</v>
      </c>
    </row>
    <row r="351" spans="1:20" ht="15">
      <c r="A351" t="s">
        <v>19</v>
      </c>
      <c r="B351" t="s">
        <v>20</v>
      </c>
      <c r="C351" t="str">
        <f t="shared" si="5"/>
        <v>31-Dec-21</v>
      </c>
      <c r="D351" t="s">
        <v>21</v>
      </c>
      <c r="E351" t="s">
        <v>22</v>
      </c>
      <c r="F351" t="str">
        <f>"BYQDMF9"</f>
        <v>BYQDMF9</v>
      </c>
      <c r="G351" t="s">
        <v>378</v>
      </c>
      <c r="I351" t="s">
        <v>156</v>
      </c>
      <c r="J351">
        <v>0.137973404</v>
      </c>
      <c r="K351">
        <v>4000</v>
      </c>
      <c r="L351">
        <v>146449.09</v>
      </c>
      <c r="M351">
        <v>18667.25</v>
      </c>
      <c r="N351">
        <v>53</v>
      </c>
      <c r="O351">
        <v>212000</v>
      </c>
      <c r="P351">
        <v>29250.36</v>
      </c>
      <c r="Q351">
        <v>0</v>
      </c>
      <c r="R351">
        <v>0</v>
      </c>
      <c r="S351">
        <v>0.015</v>
      </c>
      <c r="T351" t="s">
        <v>25</v>
      </c>
    </row>
    <row r="352" spans="1:20" ht="15">
      <c r="A352" t="s">
        <v>19</v>
      </c>
      <c r="B352" t="s">
        <v>20</v>
      </c>
      <c r="C352" t="str">
        <f t="shared" si="5"/>
        <v>31-Dec-21</v>
      </c>
      <c r="D352" t="s">
        <v>21</v>
      </c>
      <c r="E352" t="s">
        <v>22</v>
      </c>
      <c r="F352" t="str">
        <f>"BK4XS99"</f>
        <v>BK4XS99</v>
      </c>
      <c r="G352" t="s">
        <v>379</v>
      </c>
      <c r="I352" t="s">
        <v>156</v>
      </c>
      <c r="J352">
        <v>0.137973404</v>
      </c>
      <c r="K352">
        <v>11800</v>
      </c>
      <c r="L352">
        <v>119488.7</v>
      </c>
      <c r="M352">
        <v>15230.72</v>
      </c>
      <c r="N352">
        <v>17.36</v>
      </c>
      <c r="O352">
        <v>204848</v>
      </c>
      <c r="P352">
        <v>28263.58</v>
      </c>
      <c r="Q352">
        <v>0</v>
      </c>
      <c r="R352">
        <v>0</v>
      </c>
      <c r="S352">
        <v>0.014</v>
      </c>
      <c r="T352" t="s">
        <v>25</v>
      </c>
    </row>
    <row r="353" spans="1:20" ht="15">
      <c r="A353" t="s">
        <v>19</v>
      </c>
      <c r="B353" t="s">
        <v>20</v>
      </c>
      <c r="C353" t="str">
        <f t="shared" si="5"/>
        <v>31-Dec-21</v>
      </c>
      <c r="D353" t="s">
        <v>21</v>
      </c>
      <c r="E353" t="s">
        <v>22</v>
      </c>
      <c r="F353" t="str">
        <f>"BD5CMQ1"</f>
        <v>BD5CMQ1</v>
      </c>
      <c r="G353" t="s">
        <v>380</v>
      </c>
      <c r="I353" t="s">
        <v>156</v>
      </c>
      <c r="J353">
        <v>0.137973404</v>
      </c>
      <c r="K353">
        <v>8800</v>
      </c>
      <c r="L353">
        <v>82858.4</v>
      </c>
      <c r="M353">
        <v>10538.28</v>
      </c>
      <c r="N353">
        <v>8.78</v>
      </c>
      <c r="O353">
        <v>77264</v>
      </c>
      <c r="P353">
        <v>10660.38</v>
      </c>
      <c r="Q353">
        <v>0</v>
      </c>
      <c r="R353">
        <v>0</v>
      </c>
      <c r="S353">
        <v>0.005</v>
      </c>
      <c r="T353" t="s">
        <v>25</v>
      </c>
    </row>
    <row r="354" spans="1:20" ht="15">
      <c r="A354" t="s">
        <v>19</v>
      </c>
      <c r="B354" t="s">
        <v>20</v>
      </c>
      <c r="C354" t="str">
        <f t="shared" si="5"/>
        <v>31-Dec-21</v>
      </c>
      <c r="D354" t="s">
        <v>21</v>
      </c>
      <c r="E354" t="s">
        <v>22</v>
      </c>
      <c r="F354" t="str">
        <f>"BD5CLK8"</f>
        <v>BD5CLK8</v>
      </c>
      <c r="G354" t="s">
        <v>381</v>
      </c>
      <c r="I354" t="s">
        <v>156</v>
      </c>
      <c r="J354">
        <v>0.137973404</v>
      </c>
      <c r="K354">
        <v>12400</v>
      </c>
      <c r="L354">
        <v>182836.25</v>
      </c>
      <c r="M354">
        <v>23432.61</v>
      </c>
      <c r="N354">
        <v>9.7</v>
      </c>
      <c r="O354">
        <v>120280</v>
      </c>
      <c r="P354">
        <v>16595.44</v>
      </c>
      <c r="Q354">
        <v>0</v>
      </c>
      <c r="R354">
        <v>0</v>
      </c>
      <c r="S354">
        <v>0.008</v>
      </c>
      <c r="T354" t="s">
        <v>25</v>
      </c>
    </row>
    <row r="355" spans="1:20" ht="15">
      <c r="A355" t="s">
        <v>19</v>
      </c>
      <c r="B355" t="s">
        <v>20</v>
      </c>
      <c r="C355" t="str">
        <f t="shared" si="5"/>
        <v>31-Dec-21</v>
      </c>
      <c r="D355" t="s">
        <v>21</v>
      </c>
      <c r="E355" t="s">
        <v>22</v>
      </c>
      <c r="F355" t="str">
        <f>"BHQPRN9"</f>
        <v>BHQPRN9</v>
      </c>
      <c r="G355" t="s">
        <v>382</v>
      </c>
      <c r="I355" t="s">
        <v>156</v>
      </c>
      <c r="J355">
        <v>0.137973404</v>
      </c>
      <c r="K355">
        <v>10200</v>
      </c>
      <c r="L355">
        <v>348450.17</v>
      </c>
      <c r="M355">
        <v>42469.08</v>
      </c>
      <c r="N355">
        <v>7.86</v>
      </c>
      <c r="O355">
        <v>80172</v>
      </c>
      <c r="P355">
        <v>11061.6</v>
      </c>
      <c r="Q355">
        <v>0</v>
      </c>
      <c r="R355">
        <v>0</v>
      </c>
      <c r="S355">
        <v>0.005</v>
      </c>
      <c r="T355" t="s">
        <v>25</v>
      </c>
    </row>
    <row r="356" spans="1:20" ht="15">
      <c r="A356" t="s">
        <v>19</v>
      </c>
      <c r="B356" t="s">
        <v>20</v>
      </c>
      <c r="C356" t="str">
        <f t="shared" si="5"/>
        <v>31-Dec-21</v>
      </c>
      <c r="D356" t="s">
        <v>21</v>
      </c>
      <c r="E356" t="s">
        <v>22</v>
      </c>
      <c r="F356" t="str">
        <f>"BFF1YZ5"</f>
        <v>BFF1YZ5</v>
      </c>
      <c r="G356" t="s">
        <v>383</v>
      </c>
      <c r="I356" t="s">
        <v>156</v>
      </c>
      <c r="J356">
        <v>0.137973404</v>
      </c>
      <c r="K356">
        <v>1100</v>
      </c>
      <c r="L356">
        <v>139785.03</v>
      </c>
      <c r="M356">
        <v>17817.81</v>
      </c>
      <c r="N356">
        <v>147.5</v>
      </c>
      <c r="O356">
        <v>162250</v>
      </c>
      <c r="P356">
        <v>22386.18</v>
      </c>
      <c r="Q356">
        <v>0</v>
      </c>
      <c r="R356">
        <v>0</v>
      </c>
      <c r="S356">
        <v>0.011</v>
      </c>
      <c r="T356" t="s">
        <v>25</v>
      </c>
    </row>
    <row r="357" spans="1:20" ht="15">
      <c r="A357" t="s">
        <v>19</v>
      </c>
      <c r="B357" t="s">
        <v>20</v>
      </c>
      <c r="C357" t="str">
        <f t="shared" si="5"/>
        <v>31-Dec-21</v>
      </c>
      <c r="D357" t="s">
        <v>21</v>
      </c>
      <c r="E357" t="s">
        <v>22</v>
      </c>
      <c r="F357" t="str">
        <f>"BZ0D003"</f>
        <v>BZ0D003</v>
      </c>
      <c r="G357" t="s">
        <v>384</v>
      </c>
      <c r="I357" t="s">
        <v>156</v>
      </c>
      <c r="J357">
        <v>0.137973404</v>
      </c>
      <c r="K357">
        <v>9700</v>
      </c>
      <c r="L357">
        <v>103796.62</v>
      </c>
      <c r="M357">
        <v>13294.88</v>
      </c>
      <c r="N357">
        <v>14.74</v>
      </c>
      <c r="O357">
        <v>142978</v>
      </c>
      <c r="P357">
        <v>19727.16</v>
      </c>
      <c r="Q357">
        <v>0</v>
      </c>
      <c r="R357">
        <v>0</v>
      </c>
      <c r="S357">
        <v>0.01</v>
      </c>
      <c r="T357" t="s">
        <v>25</v>
      </c>
    </row>
    <row r="358" spans="1:20" ht="15">
      <c r="A358" t="s">
        <v>19</v>
      </c>
      <c r="B358" t="s">
        <v>20</v>
      </c>
      <c r="C358" t="str">
        <f t="shared" si="5"/>
        <v>31-Dec-21</v>
      </c>
      <c r="D358" t="s">
        <v>21</v>
      </c>
      <c r="E358" t="s">
        <v>22</v>
      </c>
      <c r="F358" t="str">
        <f>"BHQPSJ2"</f>
        <v>BHQPSJ2</v>
      </c>
      <c r="G358" t="s">
        <v>385</v>
      </c>
      <c r="I358" t="s">
        <v>156</v>
      </c>
      <c r="J358">
        <v>0.137973404</v>
      </c>
      <c r="K358">
        <v>2000</v>
      </c>
      <c r="L358">
        <v>90680.88</v>
      </c>
      <c r="M358">
        <v>11052.18</v>
      </c>
      <c r="N358">
        <v>57.37</v>
      </c>
      <c r="O358">
        <v>114740</v>
      </c>
      <c r="P358">
        <v>15831.07</v>
      </c>
      <c r="Q358">
        <v>0</v>
      </c>
      <c r="R358">
        <v>0</v>
      </c>
      <c r="S358">
        <v>0.008</v>
      </c>
      <c r="T358" t="s">
        <v>25</v>
      </c>
    </row>
    <row r="359" spans="1:20" ht="15">
      <c r="A359" t="s">
        <v>19</v>
      </c>
      <c r="B359" t="s">
        <v>20</v>
      </c>
      <c r="C359" t="str">
        <f t="shared" si="5"/>
        <v>31-Dec-21</v>
      </c>
      <c r="D359" t="s">
        <v>21</v>
      </c>
      <c r="E359" t="s">
        <v>22</v>
      </c>
      <c r="F359" t="str">
        <f>"BD5M1C0"</f>
        <v>BD5M1C0</v>
      </c>
      <c r="G359" t="s">
        <v>386</v>
      </c>
      <c r="I359" t="s">
        <v>156</v>
      </c>
      <c r="J359">
        <v>0.137973404</v>
      </c>
      <c r="K359">
        <v>5400</v>
      </c>
      <c r="L359">
        <v>171352.67</v>
      </c>
      <c r="M359">
        <v>22016.55</v>
      </c>
      <c r="N359">
        <v>20.31</v>
      </c>
      <c r="O359">
        <v>109674</v>
      </c>
      <c r="P359">
        <v>15132.1</v>
      </c>
      <c r="Q359">
        <v>0</v>
      </c>
      <c r="R359">
        <v>0</v>
      </c>
      <c r="S359">
        <v>0.008</v>
      </c>
      <c r="T359" t="s">
        <v>25</v>
      </c>
    </row>
    <row r="360" spans="1:20" ht="15">
      <c r="A360" t="s">
        <v>19</v>
      </c>
      <c r="B360" t="s">
        <v>20</v>
      </c>
      <c r="C360" t="str">
        <f t="shared" si="5"/>
        <v>31-Dec-21</v>
      </c>
      <c r="D360" t="s">
        <v>21</v>
      </c>
      <c r="E360" t="s">
        <v>22</v>
      </c>
      <c r="F360" t="str">
        <f>"BK4XYC4"</f>
        <v>BK4XYC4</v>
      </c>
      <c r="G360" t="s">
        <v>387</v>
      </c>
      <c r="I360" t="s">
        <v>156</v>
      </c>
      <c r="J360">
        <v>0.137973404</v>
      </c>
      <c r="K360">
        <v>1100</v>
      </c>
      <c r="L360">
        <v>124660.84</v>
      </c>
      <c r="M360">
        <v>15889.99</v>
      </c>
      <c r="N360">
        <v>141.27</v>
      </c>
      <c r="O360">
        <v>155397</v>
      </c>
      <c r="P360">
        <v>21440.65</v>
      </c>
      <c r="Q360">
        <v>0</v>
      </c>
      <c r="R360">
        <v>0</v>
      </c>
      <c r="S360">
        <v>0.011</v>
      </c>
      <c r="T360" t="s">
        <v>25</v>
      </c>
    </row>
    <row r="361" spans="1:20" ht="15">
      <c r="A361" t="s">
        <v>19</v>
      </c>
      <c r="B361" t="s">
        <v>20</v>
      </c>
      <c r="C361" t="str">
        <f t="shared" si="5"/>
        <v>31-Dec-21</v>
      </c>
      <c r="D361" t="s">
        <v>21</v>
      </c>
      <c r="E361" t="s">
        <v>22</v>
      </c>
      <c r="F361" t="str">
        <f>"BD5CPS4"</f>
        <v>BD5CPS4</v>
      </c>
      <c r="G361" t="s">
        <v>388</v>
      </c>
      <c r="I361" t="s">
        <v>156</v>
      </c>
      <c r="J361">
        <v>0.137973404</v>
      </c>
      <c r="K361">
        <v>45600</v>
      </c>
      <c r="L361">
        <v>668097.69</v>
      </c>
      <c r="M361">
        <v>85198.41</v>
      </c>
      <c r="N361">
        <v>16.48</v>
      </c>
      <c r="O361">
        <v>751488</v>
      </c>
      <c r="P361">
        <v>103685.36</v>
      </c>
      <c r="Q361">
        <v>0</v>
      </c>
      <c r="R361">
        <v>0</v>
      </c>
      <c r="S361">
        <v>0.051</v>
      </c>
      <c r="T361" t="s">
        <v>25</v>
      </c>
    </row>
    <row r="362" spans="1:20" ht="15">
      <c r="A362" t="s">
        <v>19</v>
      </c>
      <c r="B362" t="s">
        <v>20</v>
      </c>
      <c r="C362" t="str">
        <f t="shared" si="5"/>
        <v>31-Dec-21</v>
      </c>
      <c r="D362" t="s">
        <v>21</v>
      </c>
      <c r="E362" t="s">
        <v>22</v>
      </c>
      <c r="F362" t="str">
        <f>"BP3R284"</f>
        <v>BP3R284</v>
      </c>
      <c r="G362" t="s">
        <v>389</v>
      </c>
      <c r="I362" t="s">
        <v>156</v>
      </c>
      <c r="J362">
        <v>0.137973404</v>
      </c>
      <c r="K362">
        <v>22300</v>
      </c>
      <c r="L362">
        <v>1834251.36</v>
      </c>
      <c r="M362">
        <v>234081.77</v>
      </c>
      <c r="N362">
        <v>50.41</v>
      </c>
      <c r="O362">
        <v>1124143</v>
      </c>
      <c r="P362">
        <v>155101.84</v>
      </c>
      <c r="Q362">
        <v>0</v>
      </c>
      <c r="R362">
        <v>0</v>
      </c>
      <c r="S362">
        <v>0.077</v>
      </c>
      <c r="T362" t="s">
        <v>25</v>
      </c>
    </row>
    <row r="363" spans="1:20" ht="15">
      <c r="A363" t="s">
        <v>19</v>
      </c>
      <c r="B363" t="s">
        <v>20</v>
      </c>
      <c r="C363" t="str">
        <f t="shared" si="5"/>
        <v>31-Dec-21</v>
      </c>
      <c r="D363" t="s">
        <v>21</v>
      </c>
      <c r="E363" t="s">
        <v>22</v>
      </c>
      <c r="F363" t="str">
        <f>"BP3R336"</f>
        <v>BP3R336</v>
      </c>
      <c r="G363" t="s">
        <v>390</v>
      </c>
      <c r="I363" t="s">
        <v>156</v>
      </c>
      <c r="J363">
        <v>0.137973404</v>
      </c>
      <c r="K363">
        <v>27000</v>
      </c>
      <c r="L363">
        <v>377416.76</v>
      </c>
      <c r="M363">
        <v>48227.51</v>
      </c>
      <c r="N363">
        <v>15.63</v>
      </c>
      <c r="O363">
        <v>422010</v>
      </c>
      <c r="P363">
        <v>58226.16</v>
      </c>
      <c r="Q363">
        <v>0</v>
      </c>
      <c r="R363">
        <v>0</v>
      </c>
      <c r="S363">
        <v>0.029</v>
      </c>
      <c r="T363" t="s">
        <v>25</v>
      </c>
    </row>
    <row r="364" spans="1:20" ht="15">
      <c r="A364" t="s">
        <v>19</v>
      </c>
      <c r="B364" t="s">
        <v>20</v>
      </c>
      <c r="C364" t="str">
        <f t="shared" si="5"/>
        <v>31-Dec-21</v>
      </c>
      <c r="D364" t="s">
        <v>21</v>
      </c>
      <c r="E364" t="s">
        <v>22</v>
      </c>
      <c r="F364" t="str">
        <f>"BP3R4M2"</f>
        <v>BP3R4M2</v>
      </c>
      <c r="G364" t="s">
        <v>391</v>
      </c>
      <c r="I364" t="s">
        <v>156</v>
      </c>
      <c r="J364">
        <v>0.137973404</v>
      </c>
      <c r="K364">
        <v>18100</v>
      </c>
      <c r="L364">
        <v>87330</v>
      </c>
      <c r="M364">
        <v>11185.74</v>
      </c>
      <c r="N364">
        <v>8.08</v>
      </c>
      <c r="O364">
        <v>146248</v>
      </c>
      <c r="P364">
        <v>20178.33</v>
      </c>
      <c r="Q364">
        <v>0</v>
      </c>
      <c r="R364">
        <v>0</v>
      </c>
      <c r="S364">
        <v>0.01</v>
      </c>
      <c r="T364" t="s">
        <v>25</v>
      </c>
    </row>
    <row r="365" spans="1:20" ht="15">
      <c r="A365" t="s">
        <v>19</v>
      </c>
      <c r="B365" t="s">
        <v>20</v>
      </c>
      <c r="C365" t="str">
        <f t="shared" si="5"/>
        <v>31-Dec-21</v>
      </c>
      <c r="D365" t="s">
        <v>21</v>
      </c>
      <c r="E365" t="s">
        <v>22</v>
      </c>
      <c r="F365" t="str">
        <f>"BKM3FN4"</f>
        <v>BKM3FN4</v>
      </c>
      <c r="G365" t="s">
        <v>392</v>
      </c>
      <c r="I365" t="s">
        <v>156</v>
      </c>
      <c r="J365">
        <v>0.137973404</v>
      </c>
      <c r="K365">
        <v>800</v>
      </c>
      <c r="L365">
        <v>138204.07</v>
      </c>
      <c r="M365">
        <v>17616.29</v>
      </c>
      <c r="N365">
        <v>208.31</v>
      </c>
      <c r="O365">
        <v>166648</v>
      </c>
      <c r="P365">
        <v>22992.99</v>
      </c>
      <c r="Q365">
        <v>0</v>
      </c>
      <c r="R365">
        <v>0</v>
      </c>
      <c r="S365">
        <v>0.011</v>
      </c>
      <c r="T365" t="s">
        <v>25</v>
      </c>
    </row>
    <row r="366" spans="1:20" ht="15">
      <c r="A366" t="s">
        <v>19</v>
      </c>
      <c r="B366" t="s">
        <v>20</v>
      </c>
      <c r="C366" t="str">
        <f t="shared" si="5"/>
        <v>31-Dec-21</v>
      </c>
      <c r="D366" t="s">
        <v>21</v>
      </c>
      <c r="E366" t="s">
        <v>22</v>
      </c>
      <c r="F366" t="str">
        <f>"BD5CGV4"</f>
        <v>BD5CGV4</v>
      </c>
      <c r="G366" t="s">
        <v>393</v>
      </c>
      <c r="I366" t="s">
        <v>156</v>
      </c>
      <c r="J366">
        <v>0.137973404</v>
      </c>
      <c r="K366">
        <v>4500</v>
      </c>
      <c r="L366">
        <v>99960.82</v>
      </c>
      <c r="M366">
        <v>12741.59</v>
      </c>
      <c r="N366">
        <v>24.87</v>
      </c>
      <c r="O366">
        <v>111915</v>
      </c>
      <c r="P366">
        <v>15441.29</v>
      </c>
      <c r="Q366">
        <v>0</v>
      </c>
      <c r="R366">
        <v>0</v>
      </c>
      <c r="S366">
        <v>0.008</v>
      </c>
      <c r="T366" t="s">
        <v>25</v>
      </c>
    </row>
    <row r="367" spans="1:20" ht="15">
      <c r="A367" t="s">
        <v>19</v>
      </c>
      <c r="B367" t="s">
        <v>20</v>
      </c>
      <c r="C367" t="str">
        <f t="shared" si="5"/>
        <v>31-Dec-21</v>
      </c>
      <c r="D367" t="s">
        <v>21</v>
      </c>
      <c r="E367" t="s">
        <v>22</v>
      </c>
      <c r="F367" t="str">
        <f>"BK71FH7"</f>
        <v>BK71FH7</v>
      </c>
      <c r="G367" t="s">
        <v>394</v>
      </c>
      <c r="I367" t="s">
        <v>156</v>
      </c>
      <c r="J367">
        <v>0.137973404</v>
      </c>
      <c r="K367">
        <v>1524</v>
      </c>
      <c r="L367">
        <v>132592.46</v>
      </c>
      <c r="M367">
        <v>17069.12</v>
      </c>
      <c r="N367">
        <v>78.57</v>
      </c>
      <c r="O367">
        <v>119740.68</v>
      </c>
      <c r="P367">
        <v>16521.03</v>
      </c>
      <c r="Q367">
        <v>0</v>
      </c>
      <c r="R367">
        <v>0</v>
      </c>
      <c r="S367">
        <v>0.008</v>
      </c>
      <c r="T367" t="s">
        <v>25</v>
      </c>
    </row>
    <row r="368" spans="1:20" ht="15">
      <c r="A368" t="s">
        <v>19</v>
      </c>
      <c r="B368" t="s">
        <v>20</v>
      </c>
      <c r="C368" t="str">
        <f t="shared" si="5"/>
        <v>31-Dec-21</v>
      </c>
      <c r="D368" t="s">
        <v>21</v>
      </c>
      <c r="E368" t="s">
        <v>22</v>
      </c>
      <c r="F368" t="str">
        <f>"BD5CL20"</f>
        <v>BD5CL20</v>
      </c>
      <c r="G368" t="s">
        <v>395</v>
      </c>
      <c r="I368" t="s">
        <v>156</v>
      </c>
      <c r="J368">
        <v>0.137973404</v>
      </c>
      <c r="K368">
        <v>12600</v>
      </c>
      <c r="L368">
        <v>173061.28</v>
      </c>
      <c r="M368">
        <v>22059.4</v>
      </c>
      <c r="N368">
        <v>18.16</v>
      </c>
      <c r="O368">
        <v>228816</v>
      </c>
      <c r="P368">
        <v>31570.52</v>
      </c>
      <c r="Q368">
        <v>0</v>
      </c>
      <c r="R368">
        <v>0</v>
      </c>
      <c r="S368">
        <v>0.016</v>
      </c>
      <c r="T368" t="s">
        <v>25</v>
      </c>
    </row>
    <row r="369" spans="1:20" ht="15">
      <c r="A369" t="s">
        <v>19</v>
      </c>
      <c r="B369" t="s">
        <v>20</v>
      </c>
      <c r="C369" t="str">
        <f t="shared" si="5"/>
        <v>31-Dec-21</v>
      </c>
      <c r="D369" t="s">
        <v>21</v>
      </c>
      <c r="E369" t="s">
        <v>22</v>
      </c>
      <c r="F369" t="str">
        <f>"BP3R2D9"</f>
        <v>BP3R2D9</v>
      </c>
      <c r="G369" t="s">
        <v>396</v>
      </c>
      <c r="I369" t="s">
        <v>156</v>
      </c>
      <c r="J369">
        <v>0.137973404</v>
      </c>
      <c r="K369">
        <v>21900</v>
      </c>
      <c r="L369">
        <v>503344.31</v>
      </c>
      <c r="M369">
        <v>64149.01</v>
      </c>
      <c r="N369">
        <v>20.63</v>
      </c>
      <c r="O369">
        <v>451797</v>
      </c>
      <c r="P369">
        <v>62335.97</v>
      </c>
      <c r="Q369">
        <v>0</v>
      </c>
      <c r="R369">
        <v>0</v>
      </c>
      <c r="S369">
        <v>0.031</v>
      </c>
      <c r="T369" t="s">
        <v>25</v>
      </c>
    </row>
    <row r="370" spans="1:20" ht="15">
      <c r="A370" t="s">
        <v>19</v>
      </c>
      <c r="B370" t="s">
        <v>20</v>
      </c>
      <c r="C370" t="str">
        <f t="shared" si="5"/>
        <v>31-Dec-21</v>
      </c>
      <c r="D370" t="s">
        <v>21</v>
      </c>
      <c r="E370" t="s">
        <v>22</v>
      </c>
      <c r="F370" t="str">
        <f>"BYYFJ78"</f>
        <v>BYYFJ78</v>
      </c>
      <c r="G370" t="s">
        <v>397</v>
      </c>
      <c r="I370" t="s">
        <v>156</v>
      </c>
      <c r="J370">
        <v>0.137973404</v>
      </c>
      <c r="K370">
        <v>9728</v>
      </c>
      <c r="L370">
        <v>75852.44</v>
      </c>
      <c r="M370">
        <v>9820.02</v>
      </c>
      <c r="N370">
        <v>8.22</v>
      </c>
      <c r="O370">
        <v>79964.16</v>
      </c>
      <c r="P370">
        <v>11032.93</v>
      </c>
      <c r="Q370">
        <v>0</v>
      </c>
      <c r="R370">
        <v>0</v>
      </c>
      <c r="S370">
        <v>0.005</v>
      </c>
      <c r="T370" t="s">
        <v>25</v>
      </c>
    </row>
    <row r="371" spans="1:20" ht="15">
      <c r="A371" t="s">
        <v>19</v>
      </c>
      <c r="B371" t="s">
        <v>20</v>
      </c>
      <c r="C371" t="str">
        <f t="shared" si="5"/>
        <v>31-Dec-21</v>
      </c>
      <c r="D371" t="s">
        <v>21</v>
      </c>
      <c r="E371" t="s">
        <v>22</v>
      </c>
      <c r="F371" t="str">
        <f>"BP3R433"</f>
        <v>BP3R433</v>
      </c>
      <c r="G371" t="s">
        <v>398</v>
      </c>
      <c r="I371" t="s">
        <v>156</v>
      </c>
      <c r="J371">
        <v>0.137973404</v>
      </c>
      <c r="K371">
        <v>25800</v>
      </c>
      <c r="L371">
        <v>244830.71</v>
      </c>
      <c r="M371">
        <v>31359.35</v>
      </c>
      <c r="N371">
        <v>11.47</v>
      </c>
      <c r="O371">
        <v>295926</v>
      </c>
      <c r="P371">
        <v>40829.92</v>
      </c>
      <c r="Q371">
        <v>0</v>
      </c>
      <c r="R371">
        <v>0</v>
      </c>
      <c r="S371">
        <v>0.02</v>
      </c>
      <c r="T371" t="s">
        <v>25</v>
      </c>
    </row>
    <row r="372" spans="1:20" ht="15">
      <c r="A372" t="s">
        <v>19</v>
      </c>
      <c r="B372" t="s">
        <v>20</v>
      </c>
      <c r="C372" t="str">
        <f t="shared" si="5"/>
        <v>31-Dec-21</v>
      </c>
      <c r="D372" t="s">
        <v>21</v>
      </c>
      <c r="E372" t="s">
        <v>22</v>
      </c>
      <c r="F372" t="str">
        <f>"BD73M39"</f>
        <v>BD73M39</v>
      </c>
      <c r="G372" t="s">
        <v>399</v>
      </c>
      <c r="I372" t="s">
        <v>156</v>
      </c>
      <c r="J372">
        <v>0.137973404</v>
      </c>
      <c r="K372">
        <v>6200</v>
      </c>
      <c r="L372">
        <v>273065.99</v>
      </c>
      <c r="M372">
        <v>34834.13</v>
      </c>
      <c r="N372">
        <v>68.92</v>
      </c>
      <c r="O372">
        <v>427304</v>
      </c>
      <c r="P372">
        <v>58956.59</v>
      </c>
      <c r="Q372">
        <v>0</v>
      </c>
      <c r="R372">
        <v>0</v>
      </c>
      <c r="S372">
        <v>0.029</v>
      </c>
      <c r="T372" t="s">
        <v>25</v>
      </c>
    </row>
    <row r="373" spans="1:20" ht="15">
      <c r="A373" t="s">
        <v>19</v>
      </c>
      <c r="B373" t="s">
        <v>20</v>
      </c>
      <c r="C373" t="str">
        <f t="shared" si="5"/>
        <v>31-Dec-21</v>
      </c>
      <c r="D373" t="s">
        <v>21</v>
      </c>
      <c r="E373" t="s">
        <v>22</v>
      </c>
      <c r="F373" t="str">
        <f>"BHQPSR0"</f>
        <v>BHQPSR0</v>
      </c>
      <c r="G373" t="s">
        <v>400</v>
      </c>
      <c r="I373" t="s">
        <v>156</v>
      </c>
      <c r="J373">
        <v>0.137973404</v>
      </c>
      <c r="K373">
        <v>300</v>
      </c>
      <c r="L373">
        <v>52556.63</v>
      </c>
      <c r="M373">
        <v>6639</v>
      </c>
      <c r="N373">
        <v>309</v>
      </c>
      <c r="O373">
        <v>92700</v>
      </c>
      <c r="P373">
        <v>12790.13</v>
      </c>
      <c r="Q373">
        <v>0</v>
      </c>
      <c r="R373">
        <v>0</v>
      </c>
      <c r="S373">
        <v>0.006</v>
      </c>
      <c r="T373" t="s">
        <v>25</v>
      </c>
    </row>
    <row r="374" spans="1:20" ht="15">
      <c r="A374" t="s">
        <v>19</v>
      </c>
      <c r="B374" t="s">
        <v>20</v>
      </c>
      <c r="C374" t="str">
        <f t="shared" si="5"/>
        <v>31-Dec-21</v>
      </c>
      <c r="D374" t="s">
        <v>21</v>
      </c>
      <c r="E374" t="s">
        <v>22</v>
      </c>
      <c r="F374" t="str">
        <f>"BD5LSR1"</f>
        <v>BD5LSR1</v>
      </c>
      <c r="G374" t="s">
        <v>401</v>
      </c>
      <c r="I374" t="s">
        <v>156</v>
      </c>
      <c r="J374">
        <v>0.137973404</v>
      </c>
      <c r="K374">
        <v>10700</v>
      </c>
      <c r="L374">
        <v>184567.44</v>
      </c>
      <c r="M374">
        <v>23314.71</v>
      </c>
      <c r="N374">
        <v>9.09</v>
      </c>
      <c r="O374">
        <v>97263</v>
      </c>
      <c r="P374">
        <v>13419.71</v>
      </c>
      <c r="Q374">
        <v>0</v>
      </c>
      <c r="R374">
        <v>0</v>
      </c>
      <c r="S374">
        <v>0.007</v>
      </c>
      <c r="T374" t="s">
        <v>25</v>
      </c>
    </row>
    <row r="375" spans="1:20" ht="15">
      <c r="A375" t="s">
        <v>19</v>
      </c>
      <c r="B375" t="s">
        <v>20</v>
      </c>
      <c r="C375" t="str">
        <f t="shared" si="5"/>
        <v>31-Dec-21</v>
      </c>
      <c r="D375" t="s">
        <v>21</v>
      </c>
      <c r="E375" t="s">
        <v>22</v>
      </c>
      <c r="F375" t="str">
        <f>"BHQPS70"</f>
        <v>BHQPS70</v>
      </c>
      <c r="G375" t="s">
        <v>402</v>
      </c>
      <c r="I375" t="s">
        <v>156</v>
      </c>
      <c r="J375">
        <v>0.137973404</v>
      </c>
      <c r="K375">
        <v>200</v>
      </c>
      <c r="L375">
        <v>39486.02</v>
      </c>
      <c r="M375">
        <v>4977.06</v>
      </c>
      <c r="N375">
        <v>191</v>
      </c>
      <c r="O375">
        <v>38200</v>
      </c>
      <c r="P375">
        <v>5270.58</v>
      </c>
      <c r="Q375">
        <v>0</v>
      </c>
      <c r="R375">
        <v>0</v>
      </c>
      <c r="S375">
        <v>0.003</v>
      </c>
      <c r="T375" t="s">
        <v>25</v>
      </c>
    </row>
    <row r="376" spans="1:20" ht="15">
      <c r="A376" t="s">
        <v>19</v>
      </c>
      <c r="B376" t="s">
        <v>20</v>
      </c>
      <c r="C376" t="str">
        <f t="shared" si="5"/>
        <v>31-Dec-21</v>
      </c>
      <c r="D376" t="s">
        <v>21</v>
      </c>
      <c r="E376" t="s">
        <v>22</v>
      </c>
      <c r="F376" t="str">
        <f>"BP3R3H0"</f>
        <v>BP3R3H0</v>
      </c>
      <c r="G376" t="s">
        <v>403</v>
      </c>
      <c r="I376" t="s">
        <v>156</v>
      </c>
      <c r="J376">
        <v>0.137973404</v>
      </c>
      <c r="K376">
        <v>20100</v>
      </c>
      <c r="L376">
        <v>332323.58</v>
      </c>
      <c r="M376">
        <v>42301.12</v>
      </c>
      <c r="N376">
        <v>22.8</v>
      </c>
      <c r="O376">
        <v>458280</v>
      </c>
      <c r="P376">
        <v>63230.45</v>
      </c>
      <c r="Q376">
        <v>0</v>
      </c>
      <c r="R376">
        <v>0</v>
      </c>
      <c r="S376">
        <v>0.031</v>
      </c>
      <c r="T376" t="s">
        <v>25</v>
      </c>
    </row>
    <row r="377" spans="1:20" ht="15">
      <c r="A377" t="s">
        <v>19</v>
      </c>
      <c r="B377" t="s">
        <v>20</v>
      </c>
      <c r="C377" t="str">
        <f t="shared" si="5"/>
        <v>31-Dec-21</v>
      </c>
      <c r="D377" t="s">
        <v>21</v>
      </c>
      <c r="E377" t="s">
        <v>22</v>
      </c>
      <c r="F377" t="str">
        <f>"BFCCQG6"</f>
        <v>BFCCQG6</v>
      </c>
      <c r="G377" t="s">
        <v>404</v>
      </c>
      <c r="I377" t="s">
        <v>156</v>
      </c>
      <c r="J377">
        <v>0.137973404</v>
      </c>
      <c r="K377">
        <v>5880</v>
      </c>
      <c r="L377">
        <v>160957.91</v>
      </c>
      <c r="M377">
        <v>20720.72</v>
      </c>
      <c r="N377">
        <v>40.03</v>
      </c>
      <c r="O377">
        <v>235376.4</v>
      </c>
      <c r="P377">
        <v>32475.68</v>
      </c>
      <c r="Q377">
        <v>0</v>
      </c>
      <c r="R377">
        <v>0</v>
      </c>
      <c r="S377">
        <v>0.016</v>
      </c>
      <c r="T377" t="s">
        <v>25</v>
      </c>
    </row>
    <row r="378" spans="1:20" ht="15">
      <c r="A378" t="s">
        <v>19</v>
      </c>
      <c r="B378" t="s">
        <v>20</v>
      </c>
      <c r="C378" t="str">
        <f t="shared" si="5"/>
        <v>31-Dec-21</v>
      </c>
      <c r="D378" t="s">
        <v>21</v>
      </c>
      <c r="E378" t="s">
        <v>22</v>
      </c>
      <c r="F378" t="str">
        <f>"BZ3F6M0"</f>
        <v>BZ3F6M0</v>
      </c>
      <c r="G378" t="s">
        <v>405</v>
      </c>
      <c r="I378" t="s">
        <v>156</v>
      </c>
      <c r="J378">
        <v>0.137973404</v>
      </c>
      <c r="K378">
        <v>3400</v>
      </c>
      <c r="L378">
        <v>89205.59</v>
      </c>
      <c r="M378">
        <v>11425.97</v>
      </c>
      <c r="N378">
        <v>29.13</v>
      </c>
      <c r="O378">
        <v>99042</v>
      </c>
      <c r="P378">
        <v>13665.16</v>
      </c>
      <c r="Q378">
        <v>0</v>
      </c>
      <c r="R378">
        <v>0</v>
      </c>
      <c r="S378">
        <v>0.007</v>
      </c>
      <c r="T378" t="s">
        <v>25</v>
      </c>
    </row>
    <row r="379" spans="1:20" ht="15">
      <c r="A379" t="s">
        <v>19</v>
      </c>
      <c r="B379" t="s">
        <v>20</v>
      </c>
      <c r="C379" t="str">
        <f t="shared" si="5"/>
        <v>31-Dec-21</v>
      </c>
      <c r="D379" t="s">
        <v>21</v>
      </c>
      <c r="E379" t="s">
        <v>22</v>
      </c>
      <c r="F379" t="str">
        <f>"BS7K5P8"</f>
        <v>BS7K5P8</v>
      </c>
      <c r="G379" t="s">
        <v>406</v>
      </c>
      <c r="I379" t="s">
        <v>156</v>
      </c>
      <c r="J379">
        <v>0.137973404</v>
      </c>
      <c r="K379">
        <v>15000</v>
      </c>
      <c r="L379">
        <v>135136.17</v>
      </c>
      <c r="M379">
        <v>17309.03</v>
      </c>
      <c r="N379">
        <v>12.2</v>
      </c>
      <c r="O379">
        <v>183000</v>
      </c>
      <c r="P379">
        <v>25249.13</v>
      </c>
      <c r="Q379">
        <v>0</v>
      </c>
      <c r="R379">
        <v>0</v>
      </c>
      <c r="S379">
        <v>0.013</v>
      </c>
      <c r="T379" t="s">
        <v>25</v>
      </c>
    </row>
    <row r="380" spans="1:20" ht="15">
      <c r="A380" t="s">
        <v>19</v>
      </c>
      <c r="B380" t="s">
        <v>20</v>
      </c>
      <c r="C380" t="str">
        <f t="shared" si="5"/>
        <v>31-Dec-21</v>
      </c>
      <c r="D380" t="s">
        <v>21</v>
      </c>
      <c r="E380" t="s">
        <v>22</v>
      </c>
      <c r="F380" t="str">
        <f>"BD5CCR2"</f>
        <v>BD5CCR2</v>
      </c>
      <c r="G380" t="s">
        <v>407</v>
      </c>
      <c r="I380" t="s">
        <v>156</v>
      </c>
      <c r="J380">
        <v>0.137973404</v>
      </c>
      <c r="K380">
        <v>3300</v>
      </c>
      <c r="L380">
        <v>73667.81</v>
      </c>
      <c r="M380">
        <v>9369.38</v>
      </c>
      <c r="N380">
        <v>25.79</v>
      </c>
      <c r="O380">
        <v>85107</v>
      </c>
      <c r="P380">
        <v>11742.5</v>
      </c>
      <c r="Q380">
        <v>0</v>
      </c>
      <c r="R380">
        <v>0</v>
      </c>
      <c r="S380">
        <v>0.006</v>
      </c>
      <c r="T380" t="s">
        <v>25</v>
      </c>
    </row>
    <row r="381" spans="1:20" ht="15">
      <c r="A381" t="s">
        <v>19</v>
      </c>
      <c r="B381" t="s">
        <v>20</v>
      </c>
      <c r="C381" t="str">
        <f t="shared" si="5"/>
        <v>31-Dec-21</v>
      </c>
      <c r="D381" t="s">
        <v>21</v>
      </c>
      <c r="E381" t="s">
        <v>22</v>
      </c>
      <c r="F381" t="str">
        <f>"BP3R5D0"</f>
        <v>BP3R5D0</v>
      </c>
      <c r="G381" t="s">
        <v>408</v>
      </c>
      <c r="I381" t="s">
        <v>156</v>
      </c>
      <c r="J381">
        <v>0.137973404</v>
      </c>
      <c r="K381">
        <v>4820</v>
      </c>
      <c r="L381">
        <v>126520.2</v>
      </c>
      <c r="M381">
        <v>16184.93</v>
      </c>
      <c r="N381">
        <v>18.82</v>
      </c>
      <c r="O381">
        <v>90712.4</v>
      </c>
      <c r="P381">
        <v>12515.9</v>
      </c>
      <c r="Q381">
        <v>0</v>
      </c>
      <c r="R381">
        <v>0</v>
      </c>
      <c r="S381">
        <v>0.006</v>
      </c>
      <c r="T381" t="s">
        <v>25</v>
      </c>
    </row>
    <row r="382" spans="1:20" ht="15">
      <c r="A382" t="s">
        <v>19</v>
      </c>
      <c r="B382" t="s">
        <v>20</v>
      </c>
      <c r="C382" t="str">
        <f t="shared" si="5"/>
        <v>31-Dec-21</v>
      </c>
      <c r="D382" t="s">
        <v>21</v>
      </c>
      <c r="E382" t="s">
        <v>22</v>
      </c>
      <c r="F382" t="str">
        <f>"BD5CFQ2"</f>
        <v>BD5CFQ2</v>
      </c>
      <c r="G382" t="s">
        <v>409</v>
      </c>
      <c r="I382" t="s">
        <v>156</v>
      </c>
      <c r="J382">
        <v>0.137973404</v>
      </c>
      <c r="K382">
        <v>3000</v>
      </c>
      <c r="L382">
        <v>88255.79</v>
      </c>
      <c r="M382">
        <v>11224.74</v>
      </c>
      <c r="N382">
        <v>27.76</v>
      </c>
      <c r="O382">
        <v>83280</v>
      </c>
      <c r="P382">
        <v>11490.43</v>
      </c>
      <c r="Q382">
        <v>0</v>
      </c>
      <c r="R382">
        <v>0</v>
      </c>
      <c r="S382">
        <v>0.006</v>
      </c>
      <c r="T382" t="s">
        <v>25</v>
      </c>
    </row>
    <row r="383" spans="1:20" ht="15">
      <c r="A383" t="s">
        <v>19</v>
      </c>
      <c r="B383" t="s">
        <v>20</v>
      </c>
      <c r="C383" t="str">
        <f t="shared" si="5"/>
        <v>31-Dec-21</v>
      </c>
      <c r="D383" t="s">
        <v>21</v>
      </c>
      <c r="E383" t="s">
        <v>22</v>
      </c>
      <c r="F383" t="str">
        <f>"BP3RDC5"</f>
        <v>BP3RDC5</v>
      </c>
      <c r="G383" t="s">
        <v>410</v>
      </c>
      <c r="I383" t="s">
        <v>156</v>
      </c>
      <c r="J383">
        <v>0.137973404</v>
      </c>
      <c r="K383">
        <v>7280</v>
      </c>
      <c r="L383">
        <v>197183.95</v>
      </c>
      <c r="M383">
        <v>25384.23</v>
      </c>
      <c r="N383">
        <v>31.3</v>
      </c>
      <c r="O383">
        <v>227864</v>
      </c>
      <c r="P383">
        <v>31439.17</v>
      </c>
      <c r="Q383">
        <v>0</v>
      </c>
      <c r="R383">
        <v>0</v>
      </c>
      <c r="S383">
        <v>0.016</v>
      </c>
      <c r="T383" t="s">
        <v>25</v>
      </c>
    </row>
    <row r="384" spans="1:20" ht="15">
      <c r="A384" t="s">
        <v>19</v>
      </c>
      <c r="B384" t="s">
        <v>20</v>
      </c>
      <c r="C384" t="str">
        <f t="shared" si="5"/>
        <v>31-Dec-21</v>
      </c>
      <c r="D384" t="s">
        <v>21</v>
      </c>
      <c r="E384" t="s">
        <v>22</v>
      </c>
      <c r="F384" t="str">
        <f>"BYW5N12"</f>
        <v>BYW5N12</v>
      </c>
      <c r="G384" t="s">
        <v>411</v>
      </c>
      <c r="I384" t="s">
        <v>156</v>
      </c>
      <c r="J384">
        <v>0.137973404</v>
      </c>
      <c r="K384">
        <v>3100</v>
      </c>
      <c r="L384">
        <v>131178.79</v>
      </c>
      <c r="M384">
        <v>16683.86</v>
      </c>
      <c r="N384">
        <v>36.55</v>
      </c>
      <c r="O384">
        <v>113305</v>
      </c>
      <c r="P384">
        <v>15633.08</v>
      </c>
      <c r="Q384">
        <v>0</v>
      </c>
      <c r="R384">
        <v>0</v>
      </c>
      <c r="S384">
        <v>0.008</v>
      </c>
      <c r="T384" t="s">
        <v>25</v>
      </c>
    </row>
    <row r="385" spans="1:20" ht="15">
      <c r="A385" t="s">
        <v>19</v>
      </c>
      <c r="B385" t="s">
        <v>20</v>
      </c>
      <c r="C385" t="str">
        <f t="shared" si="5"/>
        <v>31-Dec-21</v>
      </c>
      <c r="D385" t="s">
        <v>21</v>
      </c>
      <c r="E385" t="s">
        <v>22</v>
      </c>
      <c r="F385" t="str">
        <f>"BP3R9D8"</f>
        <v>BP3R9D8</v>
      </c>
      <c r="G385" t="s">
        <v>412</v>
      </c>
      <c r="I385" t="s">
        <v>156</v>
      </c>
      <c r="J385">
        <v>0.137973404</v>
      </c>
      <c r="K385">
        <v>44900</v>
      </c>
      <c r="L385">
        <v>157046.16</v>
      </c>
      <c r="M385">
        <v>19988.83</v>
      </c>
      <c r="N385">
        <v>4.71</v>
      </c>
      <c r="O385">
        <v>211479</v>
      </c>
      <c r="P385">
        <v>29178.48</v>
      </c>
      <c r="Q385">
        <v>0</v>
      </c>
      <c r="R385">
        <v>0</v>
      </c>
      <c r="S385">
        <v>0.014</v>
      </c>
      <c r="T385" t="s">
        <v>25</v>
      </c>
    </row>
    <row r="386" spans="1:20" ht="15">
      <c r="A386" t="s">
        <v>19</v>
      </c>
      <c r="B386" t="s">
        <v>20</v>
      </c>
      <c r="C386" t="str">
        <f aca="true" t="shared" si="6" ref="C386:C449">"31-Dec-21"</f>
        <v>31-Dec-21</v>
      </c>
      <c r="D386" t="s">
        <v>21</v>
      </c>
      <c r="E386" t="s">
        <v>22</v>
      </c>
      <c r="F386" t="str">
        <f>"BMVB2W1"</f>
        <v>BMVB2W1</v>
      </c>
      <c r="G386" t="s">
        <v>413</v>
      </c>
      <c r="I386" t="s">
        <v>156</v>
      </c>
      <c r="J386">
        <v>0.137973404</v>
      </c>
      <c r="K386">
        <v>2700</v>
      </c>
      <c r="L386">
        <v>116143.65</v>
      </c>
      <c r="M386">
        <v>14804.34</v>
      </c>
      <c r="N386">
        <v>43.9</v>
      </c>
      <c r="O386">
        <v>118530</v>
      </c>
      <c r="P386">
        <v>16353.99</v>
      </c>
      <c r="Q386">
        <v>0</v>
      </c>
      <c r="R386">
        <v>0</v>
      </c>
      <c r="S386">
        <v>0.008</v>
      </c>
      <c r="T386" t="s">
        <v>25</v>
      </c>
    </row>
    <row r="387" spans="1:20" ht="15">
      <c r="A387" t="s">
        <v>19</v>
      </c>
      <c r="B387" t="s">
        <v>20</v>
      </c>
      <c r="C387" t="str">
        <f t="shared" si="6"/>
        <v>31-Dec-21</v>
      </c>
      <c r="D387" t="s">
        <v>21</v>
      </c>
      <c r="E387" t="s">
        <v>22</v>
      </c>
      <c r="F387" t="str">
        <f>"BD5CC94"</f>
        <v>BD5CC94</v>
      </c>
      <c r="G387" t="s">
        <v>414</v>
      </c>
      <c r="I387" t="s">
        <v>156</v>
      </c>
      <c r="J387">
        <v>0.137973404</v>
      </c>
      <c r="K387">
        <v>10600</v>
      </c>
      <c r="L387">
        <v>144672</v>
      </c>
      <c r="M387">
        <v>18440.73</v>
      </c>
      <c r="N387">
        <v>11.49</v>
      </c>
      <c r="O387">
        <v>121794</v>
      </c>
      <c r="P387">
        <v>16804.33</v>
      </c>
      <c r="Q387">
        <v>0</v>
      </c>
      <c r="R387">
        <v>0</v>
      </c>
      <c r="S387">
        <v>0.008</v>
      </c>
      <c r="T387" t="s">
        <v>25</v>
      </c>
    </row>
    <row r="388" spans="1:20" ht="15">
      <c r="A388" t="s">
        <v>19</v>
      </c>
      <c r="B388" t="s">
        <v>20</v>
      </c>
      <c r="C388" t="str">
        <f t="shared" si="6"/>
        <v>31-Dec-21</v>
      </c>
      <c r="D388" t="s">
        <v>21</v>
      </c>
      <c r="E388" t="s">
        <v>22</v>
      </c>
      <c r="F388" t="str">
        <f>"BD5CLV9"</f>
        <v>BD5CLV9</v>
      </c>
      <c r="G388" t="s">
        <v>415</v>
      </c>
      <c r="I388" t="s">
        <v>156</v>
      </c>
      <c r="J388">
        <v>0.137973404</v>
      </c>
      <c r="K388">
        <v>2940</v>
      </c>
      <c r="L388">
        <v>143244.14</v>
      </c>
      <c r="M388">
        <v>18258.73</v>
      </c>
      <c r="N388">
        <v>59.83</v>
      </c>
      <c r="O388">
        <v>175900.2</v>
      </c>
      <c r="P388">
        <v>24269.55</v>
      </c>
      <c r="Q388">
        <v>0</v>
      </c>
      <c r="R388">
        <v>0</v>
      </c>
      <c r="S388">
        <v>0.012</v>
      </c>
      <c r="T388" t="s">
        <v>25</v>
      </c>
    </row>
    <row r="389" spans="1:20" ht="15">
      <c r="A389" t="s">
        <v>19</v>
      </c>
      <c r="B389" t="s">
        <v>20</v>
      </c>
      <c r="C389" t="str">
        <f t="shared" si="6"/>
        <v>31-Dec-21</v>
      </c>
      <c r="D389" t="s">
        <v>21</v>
      </c>
      <c r="E389" t="s">
        <v>22</v>
      </c>
      <c r="F389" t="str">
        <f>"BP3RCN9"</f>
        <v>BP3RCN9</v>
      </c>
      <c r="G389" t="s">
        <v>416</v>
      </c>
      <c r="I389" t="s">
        <v>156</v>
      </c>
      <c r="J389">
        <v>0.137973404</v>
      </c>
      <c r="K389">
        <v>1850</v>
      </c>
      <c r="L389">
        <v>81150.52</v>
      </c>
      <c r="M389">
        <v>10228.7</v>
      </c>
      <c r="N389">
        <v>60.83</v>
      </c>
      <c r="O389">
        <v>112535.5</v>
      </c>
      <c r="P389">
        <v>15526.91</v>
      </c>
      <c r="Q389">
        <v>0</v>
      </c>
      <c r="R389">
        <v>0</v>
      </c>
      <c r="S389">
        <v>0.008</v>
      </c>
      <c r="T389" t="s">
        <v>25</v>
      </c>
    </row>
    <row r="390" spans="1:20" ht="15">
      <c r="A390" t="s">
        <v>19</v>
      </c>
      <c r="B390" t="s">
        <v>20</v>
      </c>
      <c r="C390" t="str">
        <f t="shared" si="6"/>
        <v>31-Dec-21</v>
      </c>
      <c r="D390" t="s">
        <v>21</v>
      </c>
      <c r="E390" t="s">
        <v>22</v>
      </c>
      <c r="F390" t="str">
        <f>"BP3R9L6"</f>
        <v>BP3R9L6</v>
      </c>
      <c r="G390" t="s">
        <v>417</v>
      </c>
      <c r="I390" t="s">
        <v>156</v>
      </c>
      <c r="J390">
        <v>0.137973404</v>
      </c>
      <c r="K390">
        <v>9800</v>
      </c>
      <c r="L390">
        <v>69230.11</v>
      </c>
      <c r="M390">
        <v>8804.97</v>
      </c>
      <c r="N390">
        <v>12.82</v>
      </c>
      <c r="O390">
        <v>125636</v>
      </c>
      <c r="P390">
        <v>17334.43</v>
      </c>
      <c r="Q390">
        <v>0</v>
      </c>
      <c r="R390">
        <v>0</v>
      </c>
      <c r="S390">
        <v>0.009</v>
      </c>
      <c r="T390" t="s">
        <v>25</v>
      </c>
    </row>
    <row r="391" spans="1:20" ht="15">
      <c r="A391" t="s">
        <v>19</v>
      </c>
      <c r="B391" t="s">
        <v>20</v>
      </c>
      <c r="C391" t="str">
        <f t="shared" si="6"/>
        <v>31-Dec-21</v>
      </c>
      <c r="D391" t="s">
        <v>21</v>
      </c>
      <c r="E391" t="s">
        <v>22</v>
      </c>
      <c r="F391" t="str">
        <f>"BP3R3M5"</f>
        <v>BP3R3M5</v>
      </c>
      <c r="G391" t="s">
        <v>418</v>
      </c>
      <c r="I391" t="s">
        <v>156</v>
      </c>
      <c r="J391">
        <v>0.137973404</v>
      </c>
      <c r="K391">
        <v>4500</v>
      </c>
      <c r="L391">
        <v>126057.28</v>
      </c>
      <c r="M391">
        <v>16146.15</v>
      </c>
      <c r="N391">
        <v>48.94</v>
      </c>
      <c r="O391">
        <v>220230</v>
      </c>
      <c r="P391">
        <v>30385.88</v>
      </c>
      <c r="Q391">
        <v>0</v>
      </c>
      <c r="R391">
        <v>0</v>
      </c>
      <c r="S391">
        <v>0.015</v>
      </c>
      <c r="T391" t="s">
        <v>25</v>
      </c>
    </row>
    <row r="392" spans="1:20" ht="15">
      <c r="A392" t="s">
        <v>19</v>
      </c>
      <c r="B392" t="s">
        <v>20</v>
      </c>
      <c r="C392" t="str">
        <f t="shared" si="6"/>
        <v>31-Dec-21</v>
      </c>
      <c r="D392" t="s">
        <v>21</v>
      </c>
      <c r="E392" t="s">
        <v>22</v>
      </c>
      <c r="F392" t="str">
        <f>"BP3R4P5"</f>
        <v>BP3R4P5</v>
      </c>
      <c r="G392" t="s">
        <v>419</v>
      </c>
      <c r="I392" t="s">
        <v>156</v>
      </c>
      <c r="J392">
        <v>0.137973404</v>
      </c>
      <c r="K392">
        <v>3200</v>
      </c>
      <c r="L392">
        <v>255374.79</v>
      </c>
      <c r="M392">
        <v>32524.5</v>
      </c>
      <c r="N392">
        <v>46.69</v>
      </c>
      <c r="O392">
        <v>149408</v>
      </c>
      <c r="P392">
        <v>20614.33</v>
      </c>
      <c r="Q392">
        <v>0</v>
      </c>
      <c r="R392">
        <v>0</v>
      </c>
      <c r="S392">
        <v>0.01</v>
      </c>
      <c r="T392" t="s">
        <v>25</v>
      </c>
    </row>
    <row r="393" spans="1:20" ht="15">
      <c r="A393" t="s">
        <v>19</v>
      </c>
      <c r="B393" t="s">
        <v>20</v>
      </c>
      <c r="C393" t="str">
        <f t="shared" si="6"/>
        <v>31-Dec-21</v>
      </c>
      <c r="D393" t="s">
        <v>21</v>
      </c>
      <c r="E393" t="s">
        <v>22</v>
      </c>
      <c r="F393" t="str">
        <f>"BP3R2L7"</f>
        <v>BP3R2L7</v>
      </c>
      <c r="G393" t="s">
        <v>420</v>
      </c>
      <c r="I393" t="s">
        <v>156</v>
      </c>
      <c r="J393">
        <v>0.137973404</v>
      </c>
      <c r="K393">
        <v>40000</v>
      </c>
      <c r="L393">
        <v>246276.17</v>
      </c>
      <c r="M393">
        <v>31544.49</v>
      </c>
      <c r="N393">
        <v>5.48</v>
      </c>
      <c r="O393">
        <v>219200</v>
      </c>
      <c r="P393">
        <v>30243.77</v>
      </c>
      <c r="Q393">
        <v>0</v>
      </c>
      <c r="R393">
        <v>0</v>
      </c>
      <c r="S393">
        <v>0.015</v>
      </c>
      <c r="T393" t="s">
        <v>25</v>
      </c>
    </row>
    <row r="394" spans="1:20" ht="15">
      <c r="A394" t="s">
        <v>19</v>
      </c>
      <c r="B394" t="s">
        <v>20</v>
      </c>
      <c r="C394" t="str">
        <f t="shared" si="6"/>
        <v>31-Dec-21</v>
      </c>
      <c r="D394" t="s">
        <v>21</v>
      </c>
      <c r="E394" t="s">
        <v>22</v>
      </c>
      <c r="F394" t="str">
        <f>"BP3R5H4"</f>
        <v>BP3R5H4</v>
      </c>
      <c r="G394" t="s">
        <v>421</v>
      </c>
      <c r="I394" t="s">
        <v>156</v>
      </c>
      <c r="J394">
        <v>0.137973404</v>
      </c>
      <c r="K394">
        <v>200</v>
      </c>
      <c r="L394">
        <v>10212.93</v>
      </c>
      <c r="M394">
        <v>1290.11</v>
      </c>
      <c r="N394">
        <v>40.41</v>
      </c>
      <c r="O394">
        <v>8082</v>
      </c>
      <c r="P394">
        <v>1115.1</v>
      </c>
      <c r="Q394">
        <v>0</v>
      </c>
      <c r="R394">
        <v>0</v>
      </c>
      <c r="S394">
        <v>0.001</v>
      </c>
      <c r="T394" t="s">
        <v>25</v>
      </c>
    </row>
    <row r="395" spans="1:20" ht="15">
      <c r="A395" t="s">
        <v>19</v>
      </c>
      <c r="B395" t="s">
        <v>20</v>
      </c>
      <c r="C395" t="str">
        <f t="shared" si="6"/>
        <v>31-Dec-21</v>
      </c>
      <c r="D395" t="s">
        <v>21</v>
      </c>
      <c r="E395" t="s">
        <v>22</v>
      </c>
      <c r="F395" t="str">
        <f>"BP3RD03"</f>
        <v>BP3RD03</v>
      </c>
      <c r="G395" t="s">
        <v>422</v>
      </c>
      <c r="I395" t="s">
        <v>156</v>
      </c>
      <c r="J395">
        <v>0.137973404</v>
      </c>
      <c r="K395">
        <v>1800</v>
      </c>
      <c r="L395">
        <v>93566.92</v>
      </c>
      <c r="M395">
        <v>12045.22</v>
      </c>
      <c r="N395">
        <v>58.6</v>
      </c>
      <c r="O395">
        <v>105480</v>
      </c>
      <c r="P395">
        <v>14553.43</v>
      </c>
      <c r="Q395">
        <v>0</v>
      </c>
      <c r="R395">
        <v>0</v>
      </c>
      <c r="S395">
        <v>0.007</v>
      </c>
      <c r="T395" t="s">
        <v>25</v>
      </c>
    </row>
    <row r="396" spans="1:20" ht="15">
      <c r="A396" t="s">
        <v>19</v>
      </c>
      <c r="B396" t="s">
        <v>20</v>
      </c>
      <c r="C396" t="str">
        <f t="shared" si="6"/>
        <v>31-Dec-21</v>
      </c>
      <c r="D396" t="s">
        <v>21</v>
      </c>
      <c r="E396" t="s">
        <v>22</v>
      </c>
      <c r="F396" t="str">
        <f>"BK947Q7"</f>
        <v>BK947Q7</v>
      </c>
      <c r="G396" t="s">
        <v>423</v>
      </c>
      <c r="I396" t="s">
        <v>156</v>
      </c>
      <c r="J396">
        <v>0.137973404</v>
      </c>
      <c r="K396">
        <v>8040</v>
      </c>
      <c r="L396">
        <v>148495.34</v>
      </c>
      <c r="M396">
        <v>18928.08</v>
      </c>
      <c r="N396">
        <v>14.87</v>
      </c>
      <c r="O396">
        <v>119554.8</v>
      </c>
      <c r="P396">
        <v>16495.38</v>
      </c>
      <c r="Q396">
        <v>0</v>
      </c>
      <c r="R396">
        <v>0</v>
      </c>
      <c r="S396">
        <v>0.008</v>
      </c>
      <c r="T396" t="s">
        <v>25</v>
      </c>
    </row>
    <row r="397" spans="1:20" ht="15">
      <c r="A397" t="s">
        <v>19</v>
      </c>
      <c r="B397" t="s">
        <v>20</v>
      </c>
      <c r="C397" t="str">
        <f t="shared" si="6"/>
        <v>31-Dec-21</v>
      </c>
      <c r="D397" t="s">
        <v>21</v>
      </c>
      <c r="E397" t="s">
        <v>22</v>
      </c>
      <c r="F397" t="str">
        <f>"BZ0D285"</f>
        <v>BZ0D285</v>
      </c>
      <c r="G397" t="s">
        <v>424</v>
      </c>
      <c r="I397" t="s">
        <v>156</v>
      </c>
      <c r="J397">
        <v>0.137973404</v>
      </c>
      <c r="K397">
        <v>2100</v>
      </c>
      <c r="L397">
        <v>176276.23</v>
      </c>
      <c r="M397">
        <v>22469.19</v>
      </c>
      <c r="N397">
        <v>64.51</v>
      </c>
      <c r="O397">
        <v>135471</v>
      </c>
      <c r="P397">
        <v>18691.4</v>
      </c>
      <c r="Q397">
        <v>0</v>
      </c>
      <c r="R397">
        <v>0</v>
      </c>
      <c r="S397">
        <v>0.009</v>
      </c>
      <c r="T397" t="s">
        <v>25</v>
      </c>
    </row>
    <row r="398" spans="1:20" ht="15">
      <c r="A398" t="s">
        <v>19</v>
      </c>
      <c r="B398" t="s">
        <v>20</v>
      </c>
      <c r="C398" t="str">
        <f t="shared" si="6"/>
        <v>31-Dec-21</v>
      </c>
      <c r="D398" t="s">
        <v>21</v>
      </c>
      <c r="E398" t="s">
        <v>22</v>
      </c>
      <c r="F398" t="str">
        <f>"BP3R4Z5"</f>
        <v>BP3R4Z5</v>
      </c>
      <c r="G398" t="s">
        <v>425</v>
      </c>
      <c r="I398" t="s">
        <v>156</v>
      </c>
      <c r="J398">
        <v>0.137973404</v>
      </c>
      <c r="K398">
        <v>4100</v>
      </c>
      <c r="L398">
        <v>74736.31</v>
      </c>
      <c r="M398">
        <v>9675.52</v>
      </c>
      <c r="N398">
        <v>19.87</v>
      </c>
      <c r="O398">
        <v>81467</v>
      </c>
      <c r="P398">
        <v>11240.28</v>
      </c>
      <c r="Q398">
        <v>0</v>
      </c>
      <c r="R398">
        <v>0</v>
      </c>
      <c r="S398">
        <v>0.006</v>
      </c>
      <c r="T398" t="s">
        <v>25</v>
      </c>
    </row>
    <row r="399" spans="1:20" ht="15">
      <c r="A399" t="s">
        <v>19</v>
      </c>
      <c r="B399" t="s">
        <v>20</v>
      </c>
      <c r="C399" t="str">
        <f t="shared" si="6"/>
        <v>31-Dec-21</v>
      </c>
      <c r="D399" t="s">
        <v>21</v>
      </c>
      <c r="E399" t="s">
        <v>22</v>
      </c>
      <c r="F399" t="str">
        <f>"BP3R2B7"</f>
        <v>BP3R2B7</v>
      </c>
      <c r="G399" t="s">
        <v>426</v>
      </c>
      <c r="I399" t="s">
        <v>156</v>
      </c>
      <c r="J399">
        <v>0.137973404</v>
      </c>
      <c r="K399">
        <v>56648</v>
      </c>
      <c r="L399">
        <v>645416.46</v>
      </c>
      <c r="M399">
        <v>82655.99</v>
      </c>
      <c r="N399">
        <v>8.53</v>
      </c>
      <c r="O399">
        <v>483207.44</v>
      </c>
      <c r="P399">
        <v>66669.78</v>
      </c>
      <c r="Q399">
        <v>0</v>
      </c>
      <c r="R399">
        <v>0</v>
      </c>
      <c r="S399">
        <v>0.033</v>
      </c>
      <c r="T399" t="s">
        <v>25</v>
      </c>
    </row>
    <row r="400" spans="1:20" ht="15">
      <c r="A400" t="s">
        <v>19</v>
      </c>
      <c r="B400" t="s">
        <v>20</v>
      </c>
      <c r="C400" t="str">
        <f t="shared" si="6"/>
        <v>31-Dec-21</v>
      </c>
      <c r="D400" t="s">
        <v>21</v>
      </c>
      <c r="E400" t="s">
        <v>22</v>
      </c>
      <c r="F400" t="str">
        <f>"BF2DZJ5"</f>
        <v>BF2DZJ5</v>
      </c>
      <c r="G400" t="s">
        <v>427</v>
      </c>
      <c r="I400" t="s">
        <v>156</v>
      </c>
      <c r="J400">
        <v>0.137973404</v>
      </c>
      <c r="K400">
        <v>1400</v>
      </c>
      <c r="L400">
        <v>98813.12</v>
      </c>
      <c r="M400">
        <v>12482.15</v>
      </c>
      <c r="N400">
        <v>160.61</v>
      </c>
      <c r="O400">
        <v>224854</v>
      </c>
      <c r="P400">
        <v>31023.87</v>
      </c>
      <c r="Q400">
        <v>0</v>
      </c>
      <c r="R400">
        <v>0</v>
      </c>
      <c r="S400">
        <v>0.015</v>
      </c>
      <c r="T400" t="s">
        <v>25</v>
      </c>
    </row>
    <row r="401" spans="1:20" ht="15">
      <c r="A401" t="s">
        <v>19</v>
      </c>
      <c r="B401" t="s">
        <v>20</v>
      </c>
      <c r="C401" t="str">
        <f t="shared" si="6"/>
        <v>31-Dec-21</v>
      </c>
      <c r="D401" t="s">
        <v>21</v>
      </c>
      <c r="E401" t="s">
        <v>22</v>
      </c>
      <c r="F401" t="str">
        <f>"BD5CPJ5"</f>
        <v>BD5CPJ5</v>
      </c>
      <c r="G401" t="s">
        <v>428</v>
      </c>
      <c r="I401" t="s">
        <v>156</v>
      </c>
      <c r="J401">
        <v>0.137973404</v>
      </c>
      <c r="K401">
        <v>23000</v>
      </c>
      <c r="L401">
        <v>186257.68</v>
      </c>
      <c r="M401">
        <v>24660.59</v>
      </c>
      <c r="N401">
        <v>6.82</v>
      </c>
      <c r="O401">
        <v>156860</v>
      </c>
      <c r="P401">
        <v>21642.51</v>
      </c>
      <c r="Q401">
        <v>0</v>
      </c>
      <c r="R401">
        <v>0</v>
      </c>
      <c r="S401">
        <v>0.011</v>
      </c>
      <c r="T401" t="s">
        <v>25</v>
      </c>
    </row>
    <row r="402" spans="1:20" ht="15">
      <c r="A402" t="s">
        <v>19</v>
      </c>
      <c r="B402" t="s">
        <v>20</v>
      </c>
      <c r="C402" t="str">
        <f t="shared" si="6"/>
        <v>31-Dec-21</v>
      </c>
      <c r="D402" t="s">
        <v>21</v>
      </c>
      <c r="E402" t="s">
        <v>22</v>
      </c>
      <c r="F402" t="str">
        <f>"BP3R8V9"</f>
        <v>BP3R8V9</v>
      </c>
      <c r="G402" t="s">
        <v>429</v>
      </c>
      <c r="I402" t="s">
        <v>156</v>
      </c>
      <c r="J402">
        <v>0.137973404</v>
      </c>
      <c r="K402">
        <v>13900</v>
      </c>
      <c r="L402">
        <v>126817.34</v>
      </c>
      <c r="M402">
        <v>16019.67</v>
      </c>
      <c r="N402">
        <v>10.3</v>
      </c>
      <c r="O402">
        <v>143170</v>
      </c>
      <c r="P402">
        <v>19753.65</v>
      </c>
      <c r="Q402">
        <v>0</v>
      </c>
      <c r="R402">
        <v>0</v>
      </c>
      <c r="S402">
        <v>0.01</v>
      </c>
      <c r="T402" t="s">
        <v>25</v>
      </c>
    </row>
    <row r="403" spans="1:20" ht="15">
      <c r="A403" t="s">
        <v>19</v>
      </c>
      <c r="B403" t="s">
        <v>20</v>
      </c>
      <c r="C403" t="str">
        <f t="shared" si="6"/>
        <v>31-Dec-21</v>
      </c>
      <c r="D403" t="s">
        <v>21</v>
      </c>
      <c r="E403" t="s">
        <v>22</v>
      </c>
      <c r="F403" t="str">
        <f>"BP3R927"</f>
        <v>BP3R927</v>
      </c>
      <c r="G403" t="s">
        <v>430</v>
      </c>
      <c r="I403" t="s">
        <v>156</v>
      </c>
      <c r="J403">
        <v>0.137973404</v>
      </c>
      <c r="K403">
        <v>10400</v>
      </c>
      <c r="L403">
        <v>200105.41</v>
      </c>
      <c r="M403">
        <v>25277.48</v>
      </c>
      <c r="N403">
        <v>15.06</v>
      </c>
      <c r="O403">
        <v>156624</v>
      </c>
      <c r="P403">
        <v>21609.95</v>
      </c>
      <c r="Q403">
        <v>0</v>
      </c>
      <c r="R403">
        <v>0</v>
      </c>
      <c r="S403">
        <v>0.011</v>
      </c>
      <c r="T403" t="s">
        <v>25</v>
      </c>
    </row>
    <row r="404" spans="1:20" ht="15">
      <c r="A404" t="s">
        <v>19</v>
      </c>
      <c r="B404" t="s">
        <v>20</v>
      </c>
      <c r="C404" t="str">
        <f t="shared" si="6"/>
        <v>31-Dec-21</v>
      </c>
      <c r="D404" t="s">
        <v>21</v>
      </c>
      <c r="E404" t="s">
        <v>22</v>
      </c>
      <c r="F404" t="str">
        <f>"BD5CKB2"</f>
        <v>BD5CKB2</v>
      </c>
      <c r="G404" t="s">
        <v>431</v>
      </c>
      <c r="I404" t="s">
        <v>156</v>
      </c>
      <c r="J404">
        <v>0.137973404</v>
      </c>
      <c r="K404">
        <v>15400</v>
      </c>
      <c r="L404">
        <v>88449.81</v>
      </c>
      <c r="M404">
        <v>11249.41</v>
      </c>
      <c r="N404">
        <v>8.27</v>
      </c>
      <c r="O404">
        <v>127358</v>
      </c>
      <c r="P404">
        <v>17572.02</v>
      </c>
      <c r="Q404">
        <v>0</v>
      </c>
      <c r="R404">
        <v>0</v>
      </c>
      <c r="S404">
        <v>0.009</v>
      </c>
      <c r="T404" t="s">
        <v>25</v>
      </c>
    </row>
    <row r="405" spans="1:20" ht="15">
      <c r="A405" t="s">
        <v>19</v>
      </c>
      <c r="B405" t="s">
        <v>20</v>
      </c>
      <c r="C405" t="str">
        <f t="shared" si="6"/>
        <v>31-Dec-21</v>
      </c>
      <c r="D405" t="s">
        <v>21</v>
      </c>
      <c r="E405" t="s">
        <v>22</v>
      </c>
      <c r="F405" t="str">
        <f>"BP3R682"</f>
        <v>BP3R682</v>
      </c>
      <c r="G405" t="s">
        <v>432</v>
      </c>
      <c r="I405" t="s">
        <v>156</v>
      </c>
      <c r="J405">
        <v>0.137973404</v>
      </c>
      <c r="K405">
        <v>11200</v>
      </c>
      <c r="L405">
        <v>68585.72</v>
      </c>
      <c r="M405">
        <v>8723.02</v>
      </c>
      <c r="N405">
        <v>11.31</v>
      </c>
      <c r="O405">
        <v>126672</v>
      </c>
      <c r="P405">
        <v>17477.37</v>
      </c>
      <c r="Q405">
        <v>0</v>
      </c>
      <c r="R405">
        <v>0</v>
      </c>
      <c r="S405">
        <v>0.009</v>
      </c>
      <c r="T405" t="s">
        <v>25</v>
      </c>
    </row>
    <row r="406" spans="1:20" ht="15">
      <c r="A406" t="s">
        <v>19</v>
      </c>
      <c r="B406" t="s">
        <v>20</v>
      </c>
      <c r="C406" t="str">
        <f t="shared" si="6"/>
        <v>31-Dec-21</v>
      </c>
      <c r="D406" t="s">
        <v>21</v>
      </c>
      <c r="E406" t="s">
        <v>22</v>
      </c>
      <c r="F406" t="str">
        <f>"BP3R820"</f>
        <v>BP3R820</v>
      </c>
      <c r="G406" t="s">
        <v>433</v>
      </c>
      <c r="I406" t="s">
        <v>156</v>
      </c>
      <c r="J406">
        <v>0.137973404</v>
      </c>
      <c r="K406">
        <v>2880</v>
      </c>
      <c r="L406">
        <v>160351.3</v>
      </c>
      <c r="M406">
        <v>20538.73</v>
      </c>
      <c r="N406">
        <v>315.78</v>
      </c>
      <c r="O406">
        <v>909446.4</v>
      </c>
      <c r="P406">
        <v>125479.42</v>
      </c>
      <c r="Q406">
        <v>0</v>
      </c>
      <c r="R406">
        <v>0</v>
      </c>
      <c r="S406">
        <v>0.062</v>
      </c>
      <c r="T406" t="s">
        <v>25</v>
      </c>
    </row>
    <row r="407" spans="1:20" ht="15">
      <c r="A407" t="s">
        <v>19</v>
      </c>
      <c r="B407" t="s">
        <v>20</v>
      </c>
      <c r="C407" t="str">
        <f t="shared" si="6"/>
        <v>31-Dec-21</v>
      </c>
      <c r="D407" t="s">
        <v>21</v>
      </c>
      <c r="E407" t="s">
        <v>22</v>
      </c>
      <c r="F407" t="str">
        <f>"BFYQHK7"</f>
        <v>BFYQHK7</v>
      </c>
      <c r="G407" t="s">
        <v>434</v>
      </c>
      <c r="I407" t="s">
        <v>156</v>
      </c>
      <c r="J407">
        <v>0.137973404</v>
      </c>
      <c r="K407">
        <v>6500</v>
      </c>
      <c r="L407">
        <v>46568.33</v>
      </c>
      <c r="M407">
        <v>5869.75</v>
      </c>
      <c r="N407">
        <v>19.62</v>
      </c>
      <c r="O407">
        <v>127530</v>
      </c>
      <c r="P407">
        <v>17595.75</v>
      </c>
      <c r="Q407">
        <v>0</v>
      </c>
      <c r="R407">
        <v>0</v>
      </c>
      <c r="S407">
        <v>0.009</v>
      </c>
      <c r="T407" t="s">
        <v>25</v>
      </c>
    </row>
    <row r="408" spans="1:20" ht="15">
      <c r="A408" t="s">
        <v>19</v>
      </c>
      <c r="B408" t="s">
        <v>20</v>
      </c>
      <c r="C408" t="str">
        <f t="shared" si="6"/>
        <v>31-Dec-21</v>
      </c>
      <c r="D408" t="s">
        <v>21</v>
      </c>
      <c r="E408" t="s">
        <v>22</v>
      </c>
      <c r="F408" t="str">
        <f>"BP3RC39"</f>
        <v>BP3RC39</v>
      </c>
      <c r="G408" t="s">
        <v>435</v>
      </c>
      <c r="I408" t="s">
        <v>156</v>
      </c>
      <c r="J408">
        <v>0.137973404</v>
      </c>
      <c r="K408">
        <v>8700</v>
      </c>
      <c r="L408">
        <v>246458.35</v>
      </c>
      <c r="M408">
        <v>31567.83</v>
      </c>
      <c r="N408">
        <v>23.55</v>
      </c>
      <c r="O408">
        <v>204885</v>
      </c>
      <c r="P408">
        <v>28268.68</v>
      </c>
      <c r="Q408">
        <v>0</v>
      </c>
      <c r="R408">
        <v>0</v>
      </c>
      <c r="S408">
        <v>0.014</v>
      </c>
      <c r="T408" t="s">
        <v>25</v>
      </c>
    </row>
    <row r="409" spans="1:20" ht="15">
      <c r="A409" t="s">
        <v>19</v>
      </c>
      <c r="B409" t="s">
        <v>20</v>
      </c>
      <c r="C409" t="str">
        <f t="shared" si="6"/>
        <v>31-Dec-21</v>
      </c>
      <c r="D409" t="s">
        <v>21</v>
      </c>
      <c r="E409" t="s">
        <v>22</v>
      </c>
      <c r="F409" t="str">
        <f>"BFY8GV7"</f>
        <v>BFY8GV7</v>
      </c>
      <c r="G409" t="s">
        <v>436</v>
      </c>
      <c r="I409" t="s">
        <v>156</v>
      </c>
      <c r="J409">
        <v>0.137973404</v>
      </c>
      <c r="K409">
        <v>1200</v>
      </c>
      <c r="L409">
        <v>196223.36</v>
      </c>
      <c r="M409">
        <v>24787.09</v>
      </c>
      <c r="N409">
        <v>121.82</v>
      </c>
      <c r="O409">
        <v>146184</v>
      </c>
      <c r="P409">
        <v>20169.5</v>
      </c>
      <c r="Q409">
        <v>0</v>
      </c>
      <c r="R409">
        <v>0</v>
      </c>
      <c r="S409">
        <v>0.01</v>
      </c>
      <c r="T409" t="s">
        <v>25</v>
      </c>
    </row>
    <row r="410" spans="1:20" ht="15">
      <c r="A410" t="s">
        <v>19</v>
      </c>
      <c r="B410" t="s">
        <v>20</v>
      </c>
      <c r="C410" t="str">
        <f t="shared" si="6"/>
        <v>31-Dec-21</v>
      </c>
      <c r="D410" t="s">
        <v>21</v>
      </c>
      <c r="E410" t="s">
        <v>22</v>
      </c>
      <c r="F410" t="str">
        <f>"BD5CPV7"</f>
        <v>BD5CPV7</v>
      </c>
      <c r="G410" t="s">
        <v>437</v>
      </c>
      <c r="I410" t="s">
        <v>156</v>
      </c>
      <c r="J410">
        <v>0.137973404</v>
      </c>
      <c r="K410">
        <v>66800</v>
      </c>
      <c r="L410">
        <v>355696.99</v>
      </c>
      <c r="M410">
        <v>44442.41</v>
      </c>
      <c r="N410">
        <v>5.12</v>
      </c>
      <c r="O410">
        <v>342016</v>
      </c>
      <c r="P410">
        <v>47189.11</v>
      </c>
      <c r="Q410">
        <v>0</v>
      </c>
      <c r="R410">
        <v>0</v>
      </c>
      <c r="S410">
        <v>0.023</v>
      </c>
      <c r="T410" t="s">
        <v>25</v>
      </c>
    </row>
    <row r="411" spans="1:20" ht="15">
      <c r="A411" t="s">
        <v>19</v>
      </c>
      <c r="B411" t="s">
        <v>20</v>
      </c>
      <c r="C411" t="str">
        <f t="shared" si="6"/>
        <v>31-Dec-21</v>
      </c>
      <c r="D411" t="s">
        <v>21</v>
      </c>
      <c r="E411" t="s">
        <v>22</v>
      </c>
      <c r="F411" t="str">
        <f>"BD5CLC0"</f>
        <v>BD5CLC0</v>
      </c>
      <c r="G411" t="s">
        <v>438</v>
      </c>
      <c r="I411" t="s">
        <v>156</v>
      </c>
      <c r="J411">
        <v>0.137973404</v>
      </c>
      <c r="K411">
        <v>21900</v>
      </c>
      <c r="L411">
        <v>161939.51</v>
      </c>
      <c r="M411">
        <v>20411.83</v>
      </c>
      <c r="N411">
        <v>6.39</v>
      </c>
      <c r="O411">
        <v>139941</v>
      </c>
      <c r="P411">
        <v>19308.14</v>
      </c>
      <c r="Q411">
        <v>0</v>
      </c>
      <c r="R411">
        <v>0</v>
      </c>
      <c r="S411">
        <v>0.01</v>
      </c>
      <c r="T411" t="s">
        <v>25</v>
      </c>
    </row>
    <row r="412" spans="1:20" ht="15">
      <c r="A412" t="s">
        <v>19</v>
      </c>
      <c r="B412" t="s">
        <v>20</v>
      </c>
      <c r="C412" t="str">
        <f t="shared" si="6"/>
        <v>31-Dec-21</v>
      </c>
      <c r="D412" t="s">
        <v>21</v>
      </c>
      <c r="E412" t="s">
        <v>22</v>
      </c>
      <c r="F412" t="str">
        <f>"BD5LRQ3"</f>
        <v>BD5LRQ3</v>
      </c>
      <c r="G412" t="s">
        <v>439</v>
      </c>
      <c r="I412" t="s">
        <v>156</v>
      </c>
      <c r="J412">
        <v>0.137973404</v>
      </c>
      <c r="K412">
        <v>1400</v>
      </c>
      <c r="L412">
        <v>95678.2</v>
      </c>
      <c r="M412">
        <v>12317.01</v>
      </c>
      <c r="N412">
        <v>113</v>
      </c>
      <c r="O412">
        <v>158200</v>
      </c>
      <c r="P412">
        <v>21827.39</v>
      </c>
      <c r="Q412">
        <v>0</v>
      </c>
      <c r="R412">
        <v>0</v>
      </c>
      <c r="S412">
        <v>0.011</v>
      </c>
      <c r="T412" t="s">
        <v>25</v>
      </c>
    </row>
    <row r="413" spans="1:20" ht="15">
      <c r="A413" t="s">
        <v>19</v>
      </c>
      <c r="B413" t="s">
        <v>20</v>
      </c>
      <c r="C413" t="str">
        <f t="shared" si="6"/>
        <v>31-Dec-21</v>
      </c>
      <c r="D413" t="s">
        <v>21</v>
      </c>
      <c r="E413" t="s">
        <v>22</v>
      </c>
      <c r="F413" t="str">
        <f>"BD5CN68"</f>
        <v>BD5CN68</v>
      </c>
      <c r="G413" t="s">
        <v>440</v>
      </c>
      <c r="I413" t="s">
        <v>156</v>
      </c>
      <c r="J413">
        <v>0.137973404</v>
      </c>
      <c r="K413">
        <v>20600</v>
      </c>
      <c r="L413">
        <v>113987.35</v>
      </c>
      <c r="M413">
        <v>14529.49</v>
      </c>
      <c r="N413">
        <v>8.1</v>
      </c>
      <c r="O413">
        <v>166860</v>
      </c>
      <c r="P413">
        <v>23022.24</v>
      </c>
      <c r="Q413">
        <v>0</v>
      </c>
      <c r="R413">
        <v>0</v>
      </c>
      <c r="S413">
        <v>0.011</v>
      </c>
      <c r="T413" t="s">
        <v>25</v>
      </c>
    </row>
    <row r="414" spans="1:20" ht="15">
      <c r="A414" t="s">
        <v>19</v>
      </c>
      <c r="B414" t="s">
        <v>20</v>
      </c>
      <c r="C414" t="str">
        <f t="shared" si="6"/>
        <v>31-Dec-21</v>
      </c>
      <c r="D414" t="s">
        <v>21</v>
      </c>
      <c r="E414" t="s">
        <v>22</v>
      </c>
      <c r="F414" t="str">
        <f>"BD5CMN8"</f>
        <v>BD5CMN8</v>
      </c>
      <c r="G414" t="s">
        <v>441</v>
      </c>
      <c r="I414" t="s">
        <v>156</v>
      </c>
      <c r="J414">
        <v>0.137973404</v>
      </c>
      <c r="K414">
        <v>6200</v>
      </c>
      <c r="L414">
        <v>121393.21</v>
      </c>
      <c r="M414">
        <v>15518.65</v>
      </c>
      <c r="N414">
        <v>68.6</v>
      </c>
      <c r="O414">
        <v>425320</v>
      </c>
      <c r="P414">
        <v>58682.85</v>
      </c>
      <c r="Q414">
        <v>0</v>
      </c>
      <c r="R414">
        <v>0</v>
      </c>
      <c r="S414">
        <v>0.029</v>
      </c>
      <c r="T414" t="s">
        <v>25</v>
      </c>
    </row>
    <row r="415" spans="1:20" ht="15">
      <c r="A415" t="s">
        <v>19</v>
      </c>
      <c r="B415" t="s">
        <v>20</v>
      </c>
      <c r="C415" t="str">
        <f t="shared" si="6"/>
        <v>31-Dec-21</v>
      </c>
      <c r="D415" t="s">
        <v>21</v>
      </c>
      <c r="E415" t="s">
        <v>22</v>
      </c>
      <c r="F415" t="str">
        <f>"BFY8HT2"</f>
        <v>BFY8HT2</v>
      </c>
      <c r="G415" t="s">
        <v>442</v>
      </c>
      <c r="I415" t="s">
        <v>156</v>
      </c>
      <c r="J415">
        <v>0.137973404</v>
      </c>
      <c r="K415">
        <v>2600</v>
      </c>
      <c r="L415">
        <v>251753.29</v>
      </c>
      <c r="M415">
        <v>32243.18</v>
      </c>
      <c r="N415">
        <v>98.54</v>
      </c>
      <c r="O415">
        <v>256204</v>
      </c>
      <c r="P415">
        <v>35349.34</v>
      </c>
      <c r="Q415">
        <v>0</v>
      </c>
      <c r="R415">
        <v>0</v>
      </c>
      <c r="S415">
        <v>0.018</v>
      </c>
      <c r="T415" t="s">
        <v>25</v>
      </c>
    </row>
    <row r="416" spans="1:20" ht="15">
      <c r="A416" t="s">
        <v>19</v>
      </c>
      <c r="B416" t="s">
        <v>20</v>
      </c>
      <c r="C416" t="str">
        <f t="shared" si="6"/>
        <v>31-Dec-21</v>
      </c>
      <c r="D416" t="s">
        <v>21</v>
      </c>
      <c r="E416" t="s">
        <v>22</v>
      </c>
      <c r="F416" t="str">
        <f>"BHQK864"</f>
        <v>BHQK864</v>
      </c>
      <c r="G416" t="s">
        <v>443</v>
      </c>
      <c r="I416" t="s">
        <v>156</v>
      </c>
      <c r="J416">
        <v>0.137973404</v>
      </c>
      <c r="K416">
        <v>2098</v>
      </c>
      <c r="L416">
        <v>440242.73</v>
      </c>
      <c r="M416">
        <v>56136.32</v>
      </c>
      <c r="N416">
        <v>380.8</v>
      </c>
      <c r="O416">
        <v>798918.4</v>
      </c>
      <c r="P416">
        <v>110229.49</v>
      </c>
      <c r="Q416">
        <v>0</v>
      </c>
      <c r="R416">
        <v>0</v>
      </c>
      <c r="S416">
        <v>0.055</v>
      </c>
      <c r="T416" t="s">
        <v>25</v>
      </c>
    </row>
    <row r="417" spans="1:20" ht="15">
      <c r="A417" t="s">
        <v>19</v>
      </c>
      <c r="B417" t="s">
        <v>20</v>
      </c>
      <c r="C417" t="str">
        <f t="shared" si="6"/>
        <v>31-Dec-21</v>
      </c>
      <c r="D417" t="s">
        <v>21</v>
      </c>
      <c r="E417" t="s">
        <v>22</v>
      </c>
      <c r="F417" t="str">
        <f>"BD5CP51"</f>
        <v>BD5CP51</v>
      </c>
      <c r="G417" t="s">
        <v>444</v>
      </c>
      <c r="I417" t="s">
        <v>156</v>
      </c>
      <c r="J417">
        <v>0.137973404</v>
      </c>
      <c r="K417">
        <v>32300</v>
      </c>
      <c r="L417">
        <v>230198.28</v>
      </c>
      <c r="M417">
        <v>29485.14</v>
      </c>
      <c r="N417">
        <v>7.04</v>
      </c>
      <c r="O417">
        <v>227392</v>
      </c>
      <c r="P417">
        <v>31374.05</v>
      </c>
      <c r="Q417">
        <v>0</v>
      </c>
      <c r="R417">
        <v>0</v>
      </c>
      <c r="S417">
        <v>0.016</v>
      </c>
      <c r="T417" t="s">
        <v>25</v>
      </c>
    </row>
    <row r="418" spans="1:20" ht="15">
      <c r="A418" t="s">
        <v>19</v>
      </c>
      <c r="B418" t="s">
        <v>20</v>
      </c>
      <c r="C418" t="str">
        <f t="shared" si="6"/>
        <v>31-Dec-21</v>
      </c>
      <c r="D418" t="s">
        <v>21</v>
      </c>
      <c r="E418" t="s">
        <v>22</v>
      </c>
      <c r="F418" t="str">
        <f>"BKDQ8D3"</f>
        <v>BKDQ8D3</v>
      </c>
      <c r="G418" t="s">
        <v>445</v>
      </c>
      <c r="I418" t="s">
        <v>156</v>
      </c>
      <c r="J418">
        <v>0.137973404</v>
      </c>
      <c r="K418">
        <v>1300</v>
      </c>
      <c r="L418">
        <v>147223.57</v>
      </c>
      <c r="M418">
        <v>18765.97</v>
      </c>
      <c r="N418">
        <v>114.3</v>
      </c>
      <c r="O418">
        <v>148590</v>
      </c>
      <c r="P418">
        <v>20501.47</v>
      </c>
      <c r="Q418">
        <v>0</v>
      </c>
      <c r="R418">
        <v>0</v>
      </c>
      <c r="S418">
        <v>0.01</v>
      </c>
      <c r="T418" t="s">
        <v>25</v>
      </c>
    </row>
    <row r="419" spans="1:20" ht="15">
      <c r="A419" t="s">
        <v>19</v>
      </c>
      <c r="B419" t="s">
        <v>20</v>
      </c>
      <c r="C419" t="str">
        <f t="shared" si="6"/>
        <v>31-Dec-21</v>
      </c>
      <c r="D419" t="s">
        <v>21</v>
      </c>
      <c r="E419" t="s">
        <v>22</v>
      </c>
      <c r="F419" t="str">
        <f>"BNR4NP1"</f>
        <v>BNR4NP1</v>
      </c>
      <c r="G419" t="s">
        <v>446</v>
      </c>
      <c r="I419" t="s">
        <v>156</v>
      </c>
      <c r="J419">
        <v>0.137973404</v>
      </c>
      <c r="K419">
        <v>1593</v>
      </c>
      <c r="L419">
        <v>270241.61</v>
      </c>
      <c r="M419">
        <v>37315.94</v>
      </c>
      <c r="N419">
        <v>156.9</v>
      </c>
      <c r="O419">
        <v>249941.7</v>
      </c>
      <c r="P419">
        <v>34485.31</v>
      </c>
      <c r="Q419">
        <v>0</v>
      </c>
      <c r="R419">
        <v>0</v>
      </c>
      <c r="S419">
        <v>0.017</v>
      </c>
      <c r="T419" t="s">
        <v>25</v>
      </c>
    </row>
    <row r="420" spans="1:20" ht="15">
      <c r="A420" t="s">
        <v>19</v>
      </c>
      <c r="B420" t="s">
        <v>20</v>
      </c>
      <c r="C420" t="str">
        <f t="shared" si="6"/>
        <v>31-Dec-21</v>
      </c>
      <c r="D420" t="s">
        <v>21</v>
      </c>
      <c r="E420" t="s">
        <v>22</v>
      </c>
      <c r="F420" t="str">
        <f>"BD5CNQ8"</f>
        <v>BD5CNQ8</v>
      </c>
      <c r="G420" t="s">
        <v>447</v>
      </c>
      <c r="I420" t="s">
        <v>156</v>
      </c>
      <c r="J420">
        <v>0.137973404</v>
      </c>
      <c r="K420">
        <v>7000</v>
      </c>
      <c r="L420">
        <v>96308.6</v>
      </c>
      <c r="M420">
        <v>12276.05</v>
      </c>
      <c r="N420">
        <v>11.17</v>
      </c>
      <c r="O420">
        <v>78190</v>
      </c>
      <c r="P420">
        <v>10788.14</v>
      </c>
      <c r="Q420">
        <v>0</v>
      </c>
      <c r="R420">
        <v>0</v>
      </c>
      <c r="S420">
        <v>0.005</v>
      </c>
      <c r="T420" t="s">
        <v>25</v>
      </c>
    </row>
    <row r="421" spans="1:20" ht="15">
      <c r="A421" t="s">
        <v>19</v>
      </c>
      <c r="B421" t="s">
        <v>20</v>
      </c>
      <c r="C421" t="str">
        <f t="shared" si="6"/>
        <v>31-Dec-21</v>
      </c>
      <c r="D421" t="s">
        <v>21</v>
      </c>
      <c r="E421" t="s">
        <v>22</v>
      </c>
      <c r="F421" t="str">
        <f>"BP3R4Y4"</f>
        <v>BP3R4Y4</v>
      </c>
      <c r="G421" t="s">
        <v>448</v>
      </c>
      <c r="I421" t="s">
        <v>156</v>
      </c>
      <c r="J421">
        <v>0.137973404</v>
      </c>
      <c r="K421">
        <v>8200</v>
      </c>
      <c r="L421">
        <v>83309.03</v>
      </c>
      <c r="M421">
        <v>10580.09</v>
      </c>
      <c r="N421">
        <v>12.5</v>
      </c>
      <c r="O421">
        <v>102500</v>
      </c>
      <c r="P421">
        <v>14142.27</v>
      </c>
      <c r="Q421">
        <v>0</v>
      </c>
      <c r="R421">
        <v>0</v>
      </c>
      <c r="S421">
        <v>0.007</v>
      </c>
      <c r="T421" t="s">
        <v>25</v>
      </c>
    </row>
    <row r="422" spans="1:20" ht="15">
      <c r="A422" t="s">
        <v>19</v>
      </c>
      <c r="B422" t="s">
        <v>20</v>
      </c>
      <c r="C422" t="str">
        <f t="shared" si="6"/>
        <v>31-Dec-21</v>
      </c>
      <c r="D422" t="s">
        <v>21</v>
      </c>
      <c r="E422" t="s">
        <v>22</v>
      </c>
      <c r="F422" t="str">
        <f>"BP3RF41"</f>
        <v>BP3RF41</v>
      </c>
      <c r="G422" t="s">
        <v>449</v>
      </c>
      <c r="I422" t="s">
        <v>156</v>
      </c>
      <c r="J422">
        <v>0.137973404</v>
      </c>
      <c r="K422">
        <v>43900</v>
      </c>
      <c r="L422">
        <v>63719.21</v>
      </c>
      <c r="M422">
        <v>8187.07</v>
      </c>
      <c r="N422">
        <v>3.41</v>
      </c>
      <c r="O422">
        <v>149699</v>
      </c>
      <c r="P422">
        <v>20654.48</v>
      </c>
      <c r="Q422">
        <v>0</v>
      </c>
      <c r="R422">
        <v>0</v>
      </c>
      <c r="S422">
        <v>0.01</v>
      </c>
      <c r="T422" t="s">
        <v>25</v>
      </c>
    </row>
    <row r="423" spans="1:20" ht="15">
      <c r="A423" t="s">
        <v>19</v>
      </c>
      <c r="B423" t="s">
        <v>20</v>
      </c>
      <c r="C423" t="str">
        <f t="shared" si="6"/>
        <v>31-Dec-21</v>
      </c>
      <c r="D423" t="s">
        <v>21</v>
      </c>
      <c r="E423" t="s">
        <v>22</v>
      </c>
      <c r="F423" t="str">
        <f>"BD5CL08"</f>
        <v>BD5CL08</v>
      </c>
      <c r="G423" t="s">
        <v>450</v>
      </c>
      <c r="I423" t="s">
        <v>156</v>
      </c>
      <c r="J423">
        <v>0.137973404</v>
      </c>
      <c r="K423">
        <v>3100</v>
      </c>
      <c r="L423">
        <v>72613.17</v>
      </c>
      <c r="M423">
        <v>9400.66</v>
      </c>
      <c r="N423">
        <v>18.93</v>
      </c>
      <c r="O423">
        <v>58683</v>
      </c>
      <c r="P423">
        <v>8096.69</v>
      </c>
      <c r="Q423">
        <v>0</v>
      </c>
      <c r="R423">
        <v>0</v>
      </c>
      <c r="S423">
        <v>0.004</v>
      </c>
      <c r="T423" t="s">
        <v>25</v>
      </c>
    </row>
    <row r="424" spans="1:20" ht="15">
      <c r="A424" t="s">
        <v>19</v>
      </c>
      <c r="B424" t="s">
        <v>20</v>
      </c>
      <c r="C424" t="str">
        <f t="shared" si="6"/>
        <v>31-Dec-21</v>
      </c>
      <c r="D424" t="s">
        <v>21</v>
      </c>
      <c r="E424" t="s">
        <v>22</v>
      </c>
      <c r="F424" t="str">
        <f>"BP3RBG5"</f>
        <v>BP3RBG5</v>
      </c>
      <c r="G424" t="s">
        <v>451</v>
      </c>
      <c r="I424" t="s">
        <v>156</v>
      </c>
      <c r="J424">
        <v>0.137973404</v>
      </c>
      <c r="K424">
        <v>16400</v>
      </c>
      <c r="L424">
        <v>115033.98</v>
      </c>
      <c r="M424">
        <v>14808.76</v>
      </c>
      <c r="N424">
        <v>12.04</v>
      </c>
      <c r="O424">
        <v>197456</v>
      </c>
      <c r="P424">
        <v>27243.68</v>
      </c>
      <c r="Q424">
        <v>0</v>
      </c>
      <c r="R424">
        <v>0</v>
      </c>
      <c r="S424">
        <v>0.014</v>
      </c>
      <c r="T424" t="s">
        <v>25</v>
      </c>
    </row>
    <row r="425" spans="1:20" ht="15">
      <c r="A425" t="s">
        <v>19</v>
      </c>
      <c r="B425" t="s">
        <v>20</v>
      </c>
      <c r="C425" t="str">
        <f t="shared" si="6"/>
        <v>31-Dec-21</v>
      </c>
      <c r="D425" t="s">
        <v>21</v>
      </c>
      <c r="E425" t="s">
        <v>22</v>
      </c>
      <c r="F425" t="str">
        <f>"BFB4JK8"</f>
        <v>BFB4JK8</v>
      </c>
      <c r="G425" t="s">
        <v>452</v>
      </c>
      <c r="I425" t="s">
        <v>156</v>
      </c>
      <c r="J425">
        <v>0.137973404</v>
      </c>
      <c r="K425">
        <v>1800</v>
      </c>
      <c r="L425">
        <v>101364.58</v>
      </c>
      <c r="M425">
        <v>12804.46</v>
      </c>
      <c r="N425">
        <v>119.99</v>
      </c>
      <c r="O425">
        <v>215982</v>
      </c>
      <c r="P425">
        <v>29799.77</v>
      </c>
      <c r="Q425">
        <v>0</v>
      </c>
      <c r="R425">
        <v>0</v>
      </c>
      <c r="S425">
        <v>0.015</v>
      </c>
      <c r="T425" t="s">
        <v>25</v>
      </c>
    </row>
    <row r="426" spans="1:20" ht="15">
      <c r="A426" t="s">
        <v>19</v>
      </c>
      <c r="B426" t="s">
        <v>20</v>
      </c>
      <c r="C426" t="str">
        <f t="shared" si="6"/>
        <v>31-Dec-21</v>
      </c>
      <c r="D426" t="s">
        <v>21</v>
      </c>
      <c r="E426" t="s">
        <v>22</v>
      </c>
      <c r="F426" t="str">
        <f>"BP3R4V1"</f>
        <v>BP3R4V1</v>
      </c>
      <c r="G426" t="s">
        <v>453</v>
      </c>
      <c r="I426" t="s">
        <v>156</v>
      </c>
      <c r="J426">
        <v>0.137973404</v>
      </c>
      <c r="K426">
        <v>10800</v>
      </c>
      <c r="L426">
        <v>120539.77</v>
      </c>
      <c r="M426">
        <v>15226.68</v>
      </c>
      <c r="N426">
        <v>11.33</v>
      </c>
      <c r="O426">
        <v>122364</v>
      </c>
      <c r="P426">
        <v>16882.98</v>
      </c>
      <c r="Q426">
        <v>0</v>
      </c>
      <c r="R426">
        <v>0</v>
      </c>
      <c r="S426">
        <v>0.008</v>
      </c>
      <c r="T426" t="s">
        <v>25</v>
      </c>
    </row>
    <row r="427" spans="1:20" ht="15">
      <c r="A427" t="s">
        <v>19</v>
      </c>
      <c r="B427" t="s">
        <v>20</v>
      </c>
      <c r="C427" t="str">
        <f t="shared" si="6"/>
        <v>31-Dec-21</v>
      </c>
      <c r="D427" t="s">
        <v>21</v>
      </c>
      <c r="E427" t="s">
        <v>22</v>
      </c>
      <c r="F427" t="str">
        <f>"BD5LVM7"</f>
        <v>BD5LVM7</v>
      </c>
      <c r="G427" t="s">
        <v>454</v>
      </c>
      <c r="I427" t="s">
        <v>156</v>
      </c>
      <c r="J427">
        <v>0.137973404</v>
      </c>
      <c r="K427">
        <v>5300</v>
      </c>
      <c r="L427">
        <v>78540.78</v>
      </c>
      <c r="M427">
        <v>9899.75</v>
      </c>
      <c r="N427">
        <v>34.02</v>
      </c>
      <c r="O427">
        <v>180306</v>
      </c>
      <c r="P427">
        <v>24877.43</v>
      </c>
      <c r="Q427">
        <v>0</v>
      </c>
      <c r="R427">
        <v>0</v>
      </c>
      <c r="S427">
        <v>0.012</v>
      </c>
      <c r="T427" t="s">
        <v>25</v>
      </c>
    </row>
    <row r="428" spans="1:20" ht="15">
      <c r="A428" t="s">
        <v>19</v>
      </c>
      <c r="B428" t="s">
        <v>20</v>
      </c>
      <c r="C428" t="str">
        <f t="shared" si="6"/>
        <v>31-Dec-21</v>
      </c>
      <c r="D428" t="s">
        <v>21</v>
      </c>
      <c r="E428" t="s">
        <v>22</v>
      </c>
      <c r="F428" t="str">
        <f>"BYV1VL7"</f>
        <v>BYV1VL7</v>
      </c>
      <c r="G428" t="s">
        <v>455</v>
      </c>
      <c r="I428" t="s">
        <v>156</v>
      </c>
      <c r="J428">
        <v>0.137973404</v>
      </c>
      <c r="K428">
        <v>1120</v>
      </c>
      <c r="L428">
        <v>149490.95</v>
      </c>
      <c r="M428">
        <v>19244.53</v>
      </c>
      <c r="N428">
        <v>139.15</v>
      </c>
      <c r="O428">
        <v>155848</v>
      </c>
      <c r="P428">
        <v>21502.88</v>
      </c>
      <c r="Q428">
        <v>0</v>
      </c>
      <c r="R428">
        <v>0</v>
      </c>
      <c r="S428">
        <v>0.011</v>
      </c>
      <c r="T428" t="s">
        <v>25</v>
      </c>
    </row>
    <row r="429" spans="1:20" ht="15">
      <c r="A429" t="s">
        <v>19</v>
      </c>
      <c r="B429" t="s">
        <v>20</v>
      </c>
      <c r="C429" t="str">
        <f t="shared" si="6"/>
        <v>31-Dec-21</v>
      </c>
      <c r="D429" t="s">
        <v>21</v>
      </c>
      <c r="E429" t="s">
        <v>22</v>
      </c>
      <c r="F429" t="str">
        <f>"BD5CMV6"</f>
        <v>BD5CMV6</v>
      </c>
      <c r="G429" t="s">
        <v>456</v>
      </c>
      <c r="I429" t="s">
        <v>156</v>
      </c>
      <c r="J429">
        <v>0.137973404</v>
      </c>
      <c r="K429">
        <v>5580</v>
      </c>
      <c r="L429">
        <v>90278.97</v>
      </c>
      <c r="M429">
        <v>11687.71</v>
      </c>
      <c r="N429">
        <v>14.32</v>
      </c>
      <c r="O429">
        <v>79905.6</v>
      </c>
      <c r="P429">
        <v>11024.85</v>
      </c>
      <c r="Q429">
        <v>0</v>
      </c>
      <c r="R429">
        <v>0</v>
      </c>
      <c r="S429">
        <v>0.005</v>
      </c>
      <c r="T429" t="s">
        <v>25</v>
      </c>
    </row>
    <row r="430" spans="1:20" ht="15">
      <c r="A430" t="s">
        <v>19</v>
      </c>
      <c r="B430" t="s">
        <v>20</v>
      </c>
      <c r="C430" t="str">
        <f t="shared" si="6"/>
        <v>31-Dec-21</v>
      </c>
      <c r="D430" t="s">
        <v>21</v>
      </c>
      <c r="E430" t="s">
        <v>22</v>
      </c>
      <c r="F430" t="str">
        <f>"BP3R6Z9"</f>
        <v>BP3R6Z9</v>
      </c>
      <c r="G430" t="s">
        <v>457</v>
      </c>
      <c r="I430" t="s">
        <v>156</v>
      </c>
      <c r="J430">
        <v>0.137973404</v>
      </c>
      <c r="K430">
        <v>5200</v>
      </c>
      <c r="L430">
        <v>40431.87</v>
      </c>
      <c r="M430">
        <v>5107.39</v>
      </c>
      <c r="N430">
        <v>8.86</v>
      </c>
      <c r="O430">
        <v>46072</v>
      </c>
      <c r="P430">
        <v>6356.71</v>
      </c>
      <c r="Q430">
        <v>0</v>
      </c>
      <c r="R430">
        <v>0</v>
      </c>
      <c r="S430">
        <v>0.003</v>
      </c>
      <c r="T430" t="s">
        <v>25</v>
      </c>
    </row>
    <row r="431" spans="1:20" ht="15">
      <c r="A431" t="s">
        <v>19</v>
      </c>
      <c r="B431" t="s">
        <v>20</v>
      </c>
      <c r="C431" t="str">
        <f t="shared" si="6"/>
        <v>31-Dec-21</v>
      </c>
      <c r="D431" t="s">
        <v>21</v>
      </c>
      <c r="E431" t="s">
        <v>22</v>
      </c>
      <c r="F431" t="str">
        <f>"BP3R4S8"</f>
        <v>BP3R4S8</v>
      </c>
      <c r="G431" t="s">
        <v>458</v>
      </c>
      <c r="I431" t="s">
        <v>156</v>
      </c>
      <c r="J431">
        <v>0.137973404</v>
      </c>
      <c r="K431">
        <v>20200</v>
      </c>
      <c r="L431">
        <v>92168.07</v>
      </c>
      <c r="M431">
        <v>11642.74</v>
      </c>
      <c r="N431">
        <v>5.29</v>
      </c>
      <c r="O431">
        <v>106858</v>
      </c>
      <c r="P431">
        <v>14743.56</v>
      </c>
      <c r="Q431">
        <v>0</v>
      </c>
      <c r="R431">
        <v>0</v>
      </c>
      <c r="S431">
        <v>0.007</v>
      </c>
      <c r="T431" t="s">
        <v>25</v>
      </c>
    </row>
    <row r="432" spans="1:20" ht="15">
      <c r="A432" t="s">
        <v>19</v>
      </c>
      <c r="B432" t="s">
        <v>20</v>
      </c>
      <c r="C432" t="str">
        <f t="shared" si="6"/>
        <v>31-Dec-21</v>
      </c>
      <c r="D432" t="s">
        <v>21</v>
      </c>
      <c r="E432" t="s">
        <v>22</v>
      </c>
      <c r="F432" t="str">
        <f>"BL58R37"</f>
        <v>BL58R37</v>
      </c>
      <c r="G432" t="s">
        <v>459</v>
      </c>
      <c r="I432" t="s">
        <v>156</v>
      </c>
      <c r="J432">
        <v>0.137973404</v>
      </c>
      <c r="K432">
        <v>500</v>
      </c>
      <c r="L432">
        <v>225632.26</v>
      </c>
      <c r="M432">
        <v>31156.12</v>
      </c>
      <c r="N432">
        <v>381</v>
      </c>
      <c r="O432">
        <v>190500</v>
      </c>
      <c r="P432">
        <v>26283.93</v>
      </c>
      <c r="Q432">
        <v>0</v>
      </c>
      <c r="R432">
        <v>0</v>
      </c>
      <c r="S432">
        <v>0.013</v>
      </c>
      <c r="T432" t="s">
        <v>25</v>
      </c>
    </row>
    <row r="433" spans="1:20" ht="15">
      <c r="A433" t="s">
        <v>19</v>
      </c>
      <c r="B433" t="s">
        <v>20</v>
      </c>
      <c r="C433" t="str">
        <f t="shared" si="6"/>
        <v>31-Dec-21</v>
      </c>
      <c r="D433" t="s">
        <v>21</v>
      </c>
      <c r="E433" t="s">
        <v>22</v>
      </c>
      <c r="F433" t="str">
        <f>"BD5CGB4"</f>
        <v>BD5CGB4</v>
      </c>
      <c r="G433" t="s">
        <v>460</v>
      </c>
      <c r="I433" t="s">
        <v>156</v>
      </c>
      <c r="J433">
        <v>0.137973404</v>
      </c>
      <c r="K433">
        <v>3500</v>
      </c>
      <c r="L433">
        <v>160327.53</v>
      </c>
      <c r="M433">
        <v>20436.28</v>
      </c>
      <c r="N433">
        <v>145.8</v>
      </c>
      <c r="O433">
        <v>510300</v>
      </c>
      <c r="P433">
        <v>70407.83</v>
      </c>
      <c r="Q433">
        <v>0</v>
      </c>
      <c r="R433">
        <v>0</v>
      </c>
      <c r="S433">
        <v>0.035</v>
      </c>
      <c r="T433" t="s">
        <v>25</v>
      </c>
    </row>
    <row r="434" spans="1:20" ht="15">
      <c r="A434" t="s">
        <v>19</v>
      </c>
      <c r="B434" t="s">
        <v>20</v>
      </c>
      <c r="C434" t="str">
        <f t="shared" si="6"/>
        <v>31-Dec-21</v>
      </c>
      <c r="D434" t="s">
        <v>21</v>
      </c>
      <c r="E434" t="s">
        <v>22</v>
      </c>
      <c r="F434" t="str">
        <f>"BD5CPK6"</f>
        <v>BD5CPK6</v>
      </c>
      <c r="G434" t="s">
        <v>461</v>
      </c>
      <c r="I434" t="s">
        <v>156</v>
      </c>
      <c r="J434">
        <v>0.137973404</v>
      </c>
      <c r="K434">
        <v>36200</v>
      </c>
      <c r="L434">
        <v>376289</v>
      </c>
      <c r="M434">
        <v>48134.03</v>
      </c>
      <c r="N434">
        <v>4.12</v>
      </c>
      <c r="O434">
        <v>149144</v>
      </c>
      <c r="P434">
        <v>20577.91</v>
      </c>
      <c r="Q434">
        <v>0</v>
      </c>
      <c r="R434">
        <v>0</v>
      </c>
      <c r="S434">
        <v>0.01</v>
      </c>
      <c r="T434" t="s">
        <v>25</v>
      </c>
    </row>
    <row r="435" spans="1:20" ht="15">
      <c r="A435" t="s">
        <v>19</v>
      </c>
      <c r="B435" t="s">
        <v>20</v>
      </c>
      <c r="C435" t="str">
        <f t="shared" si="6"/>
        <v>31-Dec-21</v>
      </c>
      <c r="D435" t="s">
        <v>21</v>
      </c>
      <c r="E435" t="s">
        <v>22</v>
      </c>
      <c r="F435" t="str">
        <f>"BD5CCV6"</f>
        <v>BD5CCV6</v>
      </c>
      <c r="G435" t="s">
        <v>462</v>
      </c>
      <c r="I435" t="s">
        <v>156</v>
      </c>
      <c r="J435">
        <v>0.137973404</v>
      </c>
      <c r="K435">
        <v>5600</v>
      </c>
      <c r="L435">
        <v>102476.27</v>
      </c>
      <c r="M435">
        <v>12944.88</v>
      </c>
      <c r="N435">
        <v>42.16</v>
      </c>
      <c r="O435">
        <v>236096</v>
      </c>
      <c r="P435">
        <v>32574.97</v>
      </c>
      <c r="Q435">
        <v>0</v>
      </c>
      <c r="R435">
        <v>0</v>
      </c>
      <c r="S435">
        <v>0.016</v>
      </c>
      <c r="T435" t="s">
        <v>25</v>
      </c>
    </row>
    <row r="436" spans="1:20" ht="15">
      <c r="A436" t="s">
        <v>19</v>
      </c>
      <c r="B436" t="s">
        <v>20</v>
      </c>
      <c r="C436" t="str">
        <f t="shared" si="6"/>
        <v>31-Dec-21</v>
      </c>
      <c r="D436" t="s">
        <v>21</v>
      </c>
      <c r="E436" t="s">
        <v>22</v>
      </c>
      <c r="F436" t="str">
        <f>"BD5CF28"</f>
        <v>BD5CF28</v>
      </c>
      <c r="G436" t="s">
        <v>463</v>
      </c>
      <c r="I436" t="s">
        <v>156</v>
      </c>
      <c r="J436">
        <v>0.137973404</v>
      </c>
      <c r="K436">
        <v>300</v>
      </c>
      <c r="L436">
        <v>8500.99</v>
      </c>
      <c r="M436">
        <v>1036.1</v>
      </c>
      <c r="N436">
        <v>27.1</v>
      </c>
      <c r="O436">
        <v>8130</v>
      </c>
      <c r="P436">
        <v>1121.72</v>
      </c>
      <c r="Q436">
        <v>0</v>
      </c>
      <c r="R436">
        <v>0</v>
      </c>
      <c r="S436">
        <v>0.001</v>
      </c>
      <c r="T436" t="s">
        <v>25</v>
      </c>
    </row>
    <row r="437" spans="1:20" ht="15">
      <c r="A437" t="s">
        <v>19</v>
      </c>
      <c r="B437" t="s">
        <v>20</v>
      </c>
      <c r="C437" t="str">
        <f t="shared" si="6"/>
        <v>31-Dec-21</v>
      </c>
      <c r="D437" t="s">
        <v>21</v>
      </c>
      <c r="E437" t="s">
        <v>22</v>
      </c>
      <c r="F437" t="str">
        <f>"BD5CN91"</f>
        <v>BD5CN91</v>
      </c>
      <c r="G437" t="s">
        <v>464</v>
      </c>
      <c r="I437" t="s">
        <v>156</v>
      </c>
      <c r="J437">
        <v>0.137973404</v>
      </c>
      <c r="K437">
        <v>12100</v>
      </c>
      <c r="L437">
        <v>125188.94</v>
      </c>
      <c r="M437">
        <v>15957.31</v>
      </c>
      <c r="N437">
        <v>6.08</v>
      </c>
      <c r="O437">
        <v>73568</v>
      </c>
      <c r="P437">
        <v>10150.43</v>
      </c>
      <c r="Q437">
        <v>0</v>
      </c>
      <c r="R437">
        <v>0</v>
      </c>
      <c r="S437">
        <v>0.005</v>
      </c>
      <c r="T437" t="s">
        <v>25</v>
      </c>
    </row>
    <row r="438" spans="1:20" ht="15">
      <c r="A438" t="s">
        <v>19</v>
      </c>
      <c r="B438" t="s">
        <v>20</v>
      </c>
      <c r="C438" t="str">
        <f t="shared" si="6"/>
        <v>31-Dec-21</v>
      </c>
      <c r="D438" t="s">
        <v>21</v>
      </c>
      <c r="E438" t="s">
        <v>22</v>
      </c>
      <c r="F438" t="str">
        <f>"BP3R4H7"</f>
        <v>BP3R4H7</v>
      </c>
      <c r="G438" t="s">
        <v>465</v>
      </c>
      <c r="I438" t="s">
        <v>156</v>
      </c>
      <c r="J438">
        <v>0.137973404</v>
      </c>
      <c r="K438">
        <v>13300</v>
      </c>
      <c r="L438">
        <v>92005.52</v>
      </c>
      <c r="M438">
        <v>11622.21</v>
      </c>
      <c r="N438">
        <v>21.17</v>
      </c>
      <c r="O438">
        <v>281561</v>
      </c>
      <c r="P438">
        <v>38847.93</v>
      </c>
      <c r="Q438">
        <v>0</v>
      </c>
      <c r="R438">
        <v>0</v>
      </c>
      <c r="S438">
        <v>0.019</v>
      </c>
      <c r="T438" t="s">
        <v>25</v>
      </c>
    </row>
    <row r="439" spans="1:20" ht="15">
      <c r="A439" t="s">
        <v>19</v>
      </c>
      <c r="B439" t="s">
        <v>20</v>
      </c>
      <c r="C439" t="str">
        <f t="shared" si="6"/>
        <v>31-Dec-21</v>
      </c>
      <c r="D439" t="s">
        <v>21</v>
      </c>
      <c r="E439" t="s">
        <v>22</v>
      </c>
      <c r="F439" t="str">
        <f>"BD5CP28"</f>
        <v>BD5CP28</v>
      </c>
      <c r="G439" t="s">
        <v>466</v>
      </c>
      <c r="I439" t="s">
        <v>156</v>
      </c>
      <c r="J439">
        <v>0.137973404</v>
      </c>
      <c r="K439">
        <v>27300</v>
      </c>
      <c r="L439">
        <v>99472.24</v>
      </c>
      <c r="M439">
        <v>12742.62</v>
      </c>
      <c r="N439">
        <v>6.17</v>
      </c>
      <c r="O439">
        <v>168441</v>
      </c>
      <c r="P439">
        <v>23240.38</v>
      </c>
      <c r="Q439">
        <v>0</v>
      </c>
      <c r="R439">
        <v>0</v>
      </c>
      <c r="S439">
        <v>0.012</v>
      </c>
      <c r="T439" t="s">
        <v>25</v>
      </c>
    </row>
    <row r="440" spans="1:20" ht="15">
      <c r="A440" t="s">
        <v>19</v>
      </c>
      <c r="B440" t="s">
        <v>20</v>
      </c>
      <c r="C440" t="str">
        <f t="shared" si="6"/>
        <v>31-Dec-21</v>
      </c>
      <c r="D440" t="s">
        <v>21</v>
      </c>
      <c r="E440" t="s">
        <v>22</v>
      </c>
      <c r="F440" t="str">
        <f>"BP3RB98"</f>
        <v>BP3RB98</v>
      </c>
      <c r="G440" t="s">
        <v>467</v>
      </c>
      <c r="I440" t="s">
        <v>156</v>
      </c>
      <c r="J440">
        <v>0.137973404</v>
      </c>
      <c r="K440">
        <v>7800</v>
      </c>
      <c r="L440">
        <v>89832.65</v>
      </c>
      <c r="M440">
        <v>11425.29</v>
      </c>
      <c r="N440">
        <v>8.7</v>
      </c>
      <c r="O440">
        <v>67860</v>
      </c>
      <c r="P440">
        <v>9362.88</v>
      </c>
      <c r="Q440">
        <v>0</v>
      </c>
      <c r="R440">
        <v>0</v>
      </c>
      <c r="S440">
        <v>0.005</v>
      </c>
      <c r="T440" t="s">
        <v>25</v>
      </c>
    </row>
    <row r="441" spans="1:20" ht="15">
      <c r="A441" t="s">
        <v>19</v>
      </c>
      <c r="B441" t="s">
        <v>20</v>
      </c>
      <c r="C441" t="str">
        <f t="shared" si="6"/>
        <v>31-Dec-21</v>
      </c>
      <c r="D441" t="s">
        <v>21</v>
      </c>
      <c r="E441" t="s">
        <v>22</v>
      </c>
      <c r="F441" t="str">
        <f>"BD5CG03"</f>
        <v>BD5CG03</v>
      </c>
      <c r="G441" t="s">
        <v>468</v>
      </c>
      <c r="I441" t="s">
        <v>156</v>
      </c>
      <c r="J441">
        <v>0.137973404</v>
      </c>
      <c r="K441">
        <v>1400</v>
      </c>
      <c r="L441">
        <v>135882.66</v>
      </c>
      <c r="M441">
        <v>16464.12</v>
      </c>
      <c r="N441">
        <v>138.42</v>
      </c>
      <c r="O441">
        <v>193788</v>
      </c>
      <c r="P441">
        <v>26737.59</v>
      </c>
      <c r="Q441">
        <v>0</v>
      </c>
      <c r="R441">
        <v>0</v>
      </c>
      <c r="S441">
        <v>0.013</v>
      </c>
      <c r="T441" t="s">
        <v>25</v>
      </c>
    </row>
    <row r="442" spans="1:20" ht="15">
      <c r="A442" t="s">
        <v>19</v>
      </c>
      <c r="B442" t="s">
        <v>20</v>
      </c>
      <c r="C442" t="str">
        <f t="shared" si="6"/>
        <v>31-Dec-21</v>
      </c>
      <c r="D442" t="s">
        <v>21</v>
      </c>
      <c r="E442" t="s">
        <v>22</v>
      </c>
      <c r="F442" t="str">
        <f>"BK94886"</f>
        <v>BK94886</v>
      </c>
      <c r="G442" t="s">
        <v>469</v>
      </c>
      <c r="I442" t="s">
        <v>156</v>
      </c>
      <c r="J442">
        <v>0.137973404</v>
      </c>
      <c r="K442">
        <v>30200</v>
      </c>
      <c r="L442">
        <v>177150.51</v>
      </c>
      <c r="M442">
        <v>23454.8</v>
      </c>
      <c r="N442">
        <v>4.05</v>
      </c>
      <c r="O442">
        <v>122310</v>
      </c>
      <c r="P442">
        <v>16875.53</v>
      </c>
      <c r="Q442">
        <v>0</v>
      </c>
      <c r="R442">
        <v>0</v>
      </c>
      <c r="S442">
        <v>0.008</v>
      </c>
      <c r="T442" t="s">
        <v>25</v>
      </c>
    </row>
    <row r="443" spans="1:20" ht="15">
      <c r="A443" t="s">
        <v>19</v>
      </c>
      <c r="B443" t="s">
        <v>20</v>
      </c>
      <c r="C443" t="str">
        <f t="shared" si="6"/>
        <v>31-Dec-21</v>
      </c>
      <c r="D443" t="s">
        <v>21</v>
      </c>
      <c r="E443" t="s">
        <v>22</v>
      </c>
      <c r="F443" t="str">
        <f>"BD5CMT4"</f>
        <v>BD5CMT4</v>
      </c>
      <c r="G443" t="s">
        <v>470</v>
      </c>
      <c r="I443" t="s">
        <v>156</v>
      </c>
      <c r="J443">
        <v>0.137973404</v>
      </c>
      <c r="K443">
        <v>7400</v>
      </c>
      <c r="L443">
        <v>128889.89</v>
      </c>
      <c r="M443">
        <v>16685.85</v>
      </c>
      <c r="N443">
        <v>41.75</v>
      </c>
      <c r="O443">
        <v>308950</v>
      </c>
      <c r="P443">
        <v>42626.88</v>
      </c>
      <c r="Q443">
        <v>0</v>
      </c>
      <c r="R443">
        <v>0</v>
      </c>
      <c r="S443">
        <v>0.021</v>
      </c>
      <c r="T443" t="s">
        <v>25</v>
      </c>
    </row>
    <row r="444" spans="1:20" ht="15">
      <c r="A444" t="s">
        <v>19</v>
      </c>
      <c r="B444" t="s">
        <v>20</v>
      </c>
      <c r="C444" t="str">
        <f t="shared" si="6"/>
        <v>31-Dec-21</v>
      </c>
      <c r="D444" t="s">
        <v>21</v>
      </c>
      <c r="E444" t="s">
        <v>22</v>
      </c>
      <c r="F444" t="str">
        <f>"BD5CKM3"</f>
        <v>BD5CKM3</v>
      </c>
      <c r="G444" t="s">
        <v>471</v>
      </c>
      <c r="I444" t="s">
        <v>156</v>
      </c>
      <c r="J444">
        <v>0.137973404</v>
      </c>
      <c r="K444">
        <v>13900</v>
      </c>
      <c r="L444">
        <v>205160.93</v>
      </c>
      <c r="M444">
        <v>25916.09</v>
      </c>
      <c r="N444">
        <v>13.02</v>
      </c>
      <c r="O444">
        <v>180978</v>
      </c>
      <c r="P444">
        <v>24970.15</v>
      </c>
      <c r="Q444">
        <v>0</v>
      </c>
      <c r="R444">
        <v>0</v>
      </c>
      <c r="S444">
        <v>0.012</v>
      </c>
      <c r="T444" t="s">
        <v>25</v>
      </c>
    </row>
    <row r="445" spans="1:20" ht="15">
      <c r="A445" t="s">
        <v>19</v>
      </c>
      <c r="B445" t="s">
        <v>20</v>
      </c>
      <c r="C445" t="str">
        <f t="shared" si="6"/>
        <v>31-Dec-21</v>
      </c>
      <c r="D445" t="s">
        <v>21</v>
      </c>
      <c r="E445" t="s">
        <v>22</v>
      </c>
      <c r="F445" t="str">
        <f>"BD5C9M6"</f>
        <v>BD5C9M6</v>
      </c>
      <c r="G445" t="s">
        <v>472</v>
      </c>
      <c r="I445" t="s">
        <v>156</v>
      </c>
      <c r="J445">
        <v>0.137973404</v>
      </c>
      <c r="K445">
        <v>12200</v>
      </c>
      <c r="L445">
        <v>179082.95</v>
      </c>
      <c r="M445">
        <v>22826.95</v>
      </c>
      <c r="N445">
        <v>12.71</v>
      </c>
      <c r="O445">
        <v>155062</v>
      </c>
      <c r="P445">
        <v>21394.43</v>
      </c>
      <c r="Q445">
        <v>0</v>
      </c>
      <c r="R445">
        <v>0</v>
      </c>
      <c r="S445">
        <v>0.011</v>
      </c>
      <c r="T445" t="s">
        <v>25</v>
      </c>
    </row>
    <row r="446" spans="1:20" ht="15">
      <c r="A446" t="s">
        <v>19</v>
      </c>
      <c r="B446" t="s">
        <v>20</v>
      </c>
      <c r="C446" t="str">
        <f t="shared" si="6"/>
        <v>31-Dec-21</v>
      </c>
      <c r="D446" t="s">
        <v>21</v>
      </c>
      <c r="E446" t="s">
        <v>22</v>
      </c>
      <c r="F446" t="str">
        <f>"BD5M001"</f>
        <v>BD5M001</v>
      </c>
      <c r="G446" t="s">
        <v>473</v>
      </c>
      <c r="I446" t="s">
        <v>156</v>
      </c>
      <c r="J446">
        <v>0.137973404</v>
      </c>
      <c r="K446">
        <v>5200</v>
      </c>
      <c r="L446">
        <v>133096.97</v>
      </c>
      <c r="M446">
        <v>16965.31</v>
      </c>
      <c r="N446">
        <v>19.43</v>
      </c>
      <c r="O446">
        <v>101036</v>
      </c>
      <c r="P446">
        <v>13940.28</v>
      </c>
      <c r="Q446">
        <v>0</v>
      </c>
      <c r="R446">
        <v>0</v>
      </c>
      <c r="S446">
        <v>0.007</v>
      </c>
      <c r="T446" t="s">
        <v>25</v>
      </c>
    </row>
    <row r="447" spans="1:20" ht="15">
      <c r="A447" t="s">
        <v>19</v>
      </c>
      <c r="B447" t="s">
        <v>20</v>
      </c>
      <c r="C447" t="str">
        <f t="shared" si="6"/>
        <v>31-Dec-21</v>
      </c>
      <c r="D447" t="s">
        <v>21</v>
      </c>
      <c r="E447" t="s">
        <v>22</v>
      </c>
      <c r="F447" t="str">
        <f>"BP3RGF9"</f>
        <v>BP3RGF9</v>
      </c>
      <c r="G447" t="s">
        <v>474</v>
      </c>
      <c r="I447" t="s">
        <v>156</v>
      </c>
      <c r="J447">
        <v>0.137973404</v>
      </c>
      <c r="K447">
        <v>8200</v>
      </c>
      <c r="L447">
        <v>132100.36</v>
      </c>
      <c r="M447">
        <v>16838.28</v>
      </c>
      <c r="N447">
        <v>21.18</v>
      </c>
      <c r="O447">
        <v>173676</v>
      </c>
      <c r="P447">
        <v>23962.67</v>
      </c>
      <c r="Q447">
        <v>0</v>
      </c>
      <c r="R447">
        <v>0</v>
      </c>
      <c r="S447">
        <v>0.012</v>
      </c>
      <c r="T447" t="s">
        <v>25</v>
      </c>
    </row>
    <row r="448" spans="1:20" ht="15">
      <c r="A448" t="s">
        <v>19</v>
      </c>
      <c r="B448" t="s">
        <v>20</v>
      </c>
      <c r="C448" t="str">
        <f t="shared" si="6"/>
        <v>31-Dec-21</v>
      </c>
      <c r="D448" t="s">
        <v>21</v>
      </c>
      <c r="E448" t="s">
        <v>22</v>
      </c>
      <c r="F448" t="str">
        <f>"BD5CMD8"</f>
        <v>BD5CMD8</v>
      </c>
      <c r="G448" t="s">
        <v>475</v>
      </c>
      <c r="I448" t="s">
        <v>156</v>
      </c>
      <c r="J448">
        <v>0.137973404</v>
      </c>
      <c r="K448">
        <v>39000</v>
      </c>
      <c r="L448">
        <v>77688.29</v>
      </c>
      <c r="M448">
        <v>9981.92</v>
      </c>
      <c r="N448">
        <v>3.48</v>
      </c>
      <c r="O448">
        <v>135720</v>
      </c>
      <c r="P448">
        <v>18725.75</v>
      </c>
      <c r="Q448">
        <v>0</v>
      </c>
      <c r="R448">
        <v>0</v>
      </c>
      <c r="S448">
        <v>0.009</v>
      </c>
      <c r="T448" t="s">
        <v>25</v>
      </c>
    </row>
    <row r="449" spans="1:20" ht="15">
      <c r="A449" t="s">
        <v>19</v>
      </c>
      <c r="B449" t="s">
        <v>20</v>
      </c>
      <c r="C449" t="str">
        <f t="shared" si="6"/>
        <v>31-Dec-21</v>
      </c>
      <c r="D449" t="s">
        <v>21</v>
      </c>
      <c r="E449" t="s">
        <v>22</v>
      </c>
      <c r="F449" t="str">
        <f>"BP3RCK6"</f>
        <v>BP3RCK6</v>
      </c>
      <c r="G449" t="s">
        <v>476</v>
      </c>
      <c r="I449" t="s">
        <v>156</v>
      </c>
      <c r="J449">
        <v>0.137973404</v>
      </c>
      <c r="K449">
        <v>10700</v>
      </c>
      <c r="L449">
        <v>159531.33</v>
      </c>
      <c r="M449">
        <v>20152.13</v>
      </c>
      <c r="N449">
        <v>44.96</v>
      </c>
      <c r="O449">
        <v>481072</v>
      </c>
      <c r="P449">
        <v>66375.14</v>
      </c>
      <c r="Q449">
        <v>0</v>
      </c>
      <c r="R449">
        <v>0</v>
      </c>
      <c r="S449">
        <v>0.033</v>
      </c>
      <c r="T449" t="s">
        <v>25</v>
      </c>
    </row>
    <row r="450" spans="1:20" ht="15">
      <c r="A450" t="s">
        <v>19</v>
      </c>
      <c r="B450" t="s">
        <v>20</v>
      </c>
      <c r="C450" t="str">
        <f aca="true" t="shared" si="7" ref="C450:C513">"31-Dec-21"</f>
        <v>31-Dec-21</v>
      </c>
      <c r="D450" t="s">
        <v>21</v>
      </c>
      <c r="E450" t="s">
        <v>22</v>
      </c>
      <c r="F450" t="str">
        <f>"BYYFJH8"</f>
        <v>BYYFJH8</v>
      </c>
      <c r="G450" t="s">
        <v>477</v>
      </c>
      <c r="I450" t="s">
        <v>156</v>
      </c>
      <c r="J450">
        <v>0.137973404</v>
      </c>
      <c r="K450">
        <v>500</v>
      </c>
      <c r="L450">
        <v>84131.33</v>
      </c>
      <c r="M450">
        <v>10786.17</v>
      </c>
      <c r="N450">
        <v>199</v>
      </c>
      <c r="O450">
        <v>99500</v>
      </c>
      <c r="P450">
        <v>13728.35</v>
      </c>
      <c r="Q450">
        <v>0</v>
      </c>
      <c r="R450">
        <v>0</v>
      </c>
      <c r="S450">
        <v>0.007</v>
      </c>
      <c r="T450" t="s">
        <v>25</v>
      </c>
    </row>
    <row r="451" spans="1:20" ht="15">
      <c r="A451" t="s">
        <v>19</v>
      </c>
      <c r="B451" t="s">
        <v>20</v>
      </c>
      <c r="C451" t="str">
        <f t="shared" si="7"/>
        <v>31-Dec-21</v>
      </c>
      <c r="D451" t="s">
        <v>21</v>
      </c>
      <c r="E451" t="s">
        <v>22</v>
      </c>
      <c r="F451" t="str">
        <f>"BD73L76"</f>
        <v>BD73L76</v>
      </c>
      <c r="G451" t="s">
        <v>478</v>
      </c>
      <c r="I451" t="s">
        <v>156</v>
      </c>
      <c r="J451">
        <v>0.137973404</v>
      </c>
      <c r="K451">
        <v>5200</v>
      </c>
      <c r="L451">
        <v>111243.67</v>
      </c>
      <c r="M451">
        <v>14179.76</v>
      </c>
      <c r="N451">
        <v>19.17</v>
      </c>
      <c r="O451">
        <v>99684</v>
      </c>
      <c r="P451">
        <v>13753.74</v>
      </c>
      <c r="Q451">
        <v>0</v>
      </c>
      <c r="R451">
        <v>0</v>
      </c>
      <c r="S451">
        <v>0.007</v>
      </c>
      <c r="T451" t="s">
        <v>25</v>
      </c>
    </row>
    <row r="452" spans="1:20" ht="15">
      <c r="A452" t="s">
        <v>19</v>
      </c>
      <c r="B452" t="s">
        <v>20</v>
      </c>
      <c r="C452" t="str">
        <f t="shared" si="7"/>
        <v>31-Dec-21</v>
      </c>
      <c r="D452" t="s">
        <v>21</v>
      </c>
      <c r="E452" t="s">
        <v>22</v>
      </c>
      <c r="F452" t="str">
        <f>"BP3R499"</f>
        <v>BP3R499</v>
      </c>
      <c r="G452" t="s">
        <v>479</v>
      </c>
      <c r="I452" t="s">
        <v>156</v>
      </c>
      <c r="J452">
        <v>0.137973404</v>
      </c>
      <c r="K452">
        <v>500</v>
      </c>
      <c r="L452">
        <v>33213.06</v>
      </c>
      <c r="M452">
        <v>4263</v>
      </c>
      <c r="N452">
        <v>99</v>
      </c>
      <c r="O452">
        <v>49500</v>
      </c>
      <c r="P452">
        <v>6829.68</v>
      </c>
      <c r="Q452">
        <v>0</v>
      </c>
      <c r="R452">
        <v>0</v>
      </c>
      <c r="S452">
        <v>0.003</v>
      </c>
      <c r="T452" t="s">
        <v>25</v>
      </c>
    </row>
    <row r="453" spans="1:20" ht="15">
      <c r="A453" t="s">
        <v>19</v>
      </c>
      <c r="B453" t="s">
        <v>20</v>
      </c>
      <c r="C453" t="str">
        <f t="shared" si="7"/>
        <v>31-Dec-21</v>
      </c>
      <c r="D453" t="s">
        <v>21</v>
      </c>
      <c r="E453" t="s">
        <v>22</v>
      </c>
      <c r="F453" t="str">
        <f>"BD5CL75"</f>
        <v>BD5CL75</v>
      </c>
      <c r="G453" t="s">
        <v>480</v>
      </c>
      <c r="I453" t="s">
        <v>156</v>
      </c>
      <c r="J453">
        <v>0.137973404</v>
      </c>
      <c r="K453">
        <v>1300</v>
      </c>
      <c r="L453">
        <v>84725.22</v>
      </c>
      <c r="M453">
        <v>10702.56</v>
      </c>
      <c r="N453">
        <v>225</v>
      </c>
      <c r="O453">
        <v>292500</v>
      </c>
      <c r="P453">
        <v>40357.22</v>
      </c>
      <c r="Q453">
        <v>0</v>
      </c>
      <c r="R453">
        <v>0</v>
      </c>
      <c r="S453">
        <v>0.02</v>
      </c>
      <c r="T453" t="s">
        <v>25</v>
      </c>
    </row>
    <row r="454" spans="1:20" ht="15">
      <c r="A454" t="s">
        <v>19</v>
      </c>
      <c r="B454" t="s">
        <v>20</v>
      </c>
      <c r="C454" t="str">
        <f t="shared" si="7"/>
        <v>31-Dec-21</v>
      </c>
      <c r="D454" t="s">
        <v>21</v>
      </c>
      <c r="E454" t="s">
        <v>22</v>
      </c>
      <c r="F454" t="str">
        <f>"BD5CBG4"</f>
        <v>BD5CBG4</v>
      </c>
      <c r="G454" t="s">
        <v>481</v>
      </c>
      <c r="I454" t="s">
        <v>156</v>
      </c>
      <c r="J454">
        <v>0.137973404</v>
      </c>
      <c r="K454">
        <v>6300</v>
      </c>
      <c r="L454">
        <v>159100.33</v>
      </c>
      <c r="M454">
        <v>20442.28</v>
      </c>
      <c r="N454">
        <v>22.85</v>
      </c>
      <c r="O454">
        <v>143955</v>
      </c>
      <c r="P454">
        <v>19861.96</v>
      </c>
      <c r="Q454">
        <v>0</v>
      </c>
      <c r="R454">
        <v>0</v>
      </c>
      <c r="S454">
        <v>0.01</v>
      </c>
      <c r="T454" t="s">
        <v>25</v>
      </c>
    </row>
    <row r="455" spans="1:20" ht="15">
      <c r="A455" t="s">
        <v>19</v>
      </c>
      <c r="B455" t="s">
        <v>20</v>
      </c>
      <c r="C455" t="str">
        <f t="shared" si="7"/>
        <v>31-Dec-21</v>
      </c>
      <c r="D455" t="s">
        <v>21</v>
      </c>
      <c r="E455" t="s">
        <v>22</v>
      </c>
      <c r="F455" t="str">
        <f>"BD5C7Z5"</f>
        <v>BD5C7Z5</v>
      </c>
      <c r="G455" t="s">
        <v>482</v>
      </c>
      <c r="I455" t="s">
        <v>156</v>
      </c>
      <c r="J455">
        <v>0.137973404</v>
      </c>
      <c r="K455">
        <v>9790</v>
      </c>
      <c r="L455">
        <v>226377.11</v>
      </c>
      <c r="M455">
        <v>28749.48</v>
      </c>
      <c r="N455">
        <v>16.58</v>
      </c>
      <c r="O455">
        <v>162318.2</v>
      </c>
      <c r="P455">
        <v>22395.59</v>
      </c>
      <c r="Q455">
        <v>0</v>
      </c>
      <c r="R455">
        <v>0</v>
      </c>
      <c r="S455">
        <v>0.011</v>
      </c>
      <c r="T455" t="s">
        <v>25</v>
      </c>
    </row>
    <row r="456" spans="1:20" ht="15">
      <c r="A456" t="s">
        <v>19</v>
      </c>
      <c r="B456" t="s">
        <v>20</v>
      </c>
      <c r="C456" t="str">
        <f t="shared" si="7"/>
        <v>31-Dec-21</v>
      </c>
      <c r="D456" t="s">
        <v>21</v>
      </c>
      <c r="E456" t="s">
        <v>22</v>
      </c>
      <c r="F456" t="str">
        <f>"BD5CG36"</f>
        <v>BD5CG36</v>
      </c>
      <c r="G456" t="s">
        <v>483</v>
      </c>
      <c r="I456" t="s">
        <v>156</v>
      </c>
      <c r="J456">
        <v>0.137973404</v>
      </c>
      <c r="K456">
        <v>5100</v>
      </c>
      <c r="L456">
        <v>151371.62</v>
      </c>
      <c r="M456">
        <v>19223.92</v>
      </c>
      <c r="N456">
        <v>56.2</v>
      </c>
      <c r="O456">
        <v>286620</v>
      </c>
      <c r="P456">
        <v>39545.94</v>
      </c>
      <c r="Q456">
        <v>0</v>
      </c>
      <c r="R456">
        <v>0</v>
      </c>
      <c r="S456">
        <v>0.02</v>
      </c>
      <c r="T456" t="s">
        <v>25</v>
      </c>
    </row>
    <row r="457" spans="1:20" ht="15">
      <c r="A457" t="s">
        <v>19</v>
      </c>
      <c r="B457" t="s">
        <v>20</v>
      </c>
      <c r="C457" t="str">
        <f t="shared" si="7"/>
        <v>31-Dec-21</v>
      </c>
      <c r="D457" t="s">
        <v>21</v>
      </c>
      <c r="E457" t="s">
        <v>22</v>
      </c>
      <c r="F457" t="str">
        <f>"BP3R3S1"</f>
        <v>BP3R3S1</v>
      </c>
      <c r="G457" t="s">
        <v>484</v>
      </c>
      <c r="I457" t="s">
        <v>156</v>
      </c>
      <c r="J457">
        <v>0.137973404</v>
      </c>
      <c r="K457">
        <v>7400</v>
      </c>
      <c r="L457">
        <v>377159.95</v>
      </c>
      <c r="M457">
        <v>48248.49</v>
      </c>
      <c r="N457">
        <v>101</v>
      </c>
      <c r="O457">
        <v>747400</v>
      </c>
      <c r="P457">
        <v>103121.32</v>
      </c>
      <c r="Q457">
        <v>0</v>
      </c>
      <c r="R457">
        <v>0</v>
      </c>
      <c r="S457">
        <v>0.051</v>
      </c>
      <c r="T457" t="s">
        <v>25</v>
      </c>
    </row>
    <row r="458" spans="1:20" ht="15">
      <c r="A458" t="s">
        <v>19</v>
      </c>
      <c r="B458" t="s">
        <v>20</v>
      </c>
      <c r="C458" t="str">
        <f t="shared" si="7"/>
        <v>31-Dec-21</v>
      </c>
      <c r="D458" t="s">
        <v>21</v>
      </c>
      <c r="E458" t="s">
        <v>22</v>
      </c>
      <c r="F458" t="str">
        <f>"BD5CQ03"</f>
        <v>BD5CQ03</v>
      </c>
      <c r="G458" t="s">
        <v>485</v>
      </c>
      <c r="I458" t="s">
        <v>156</v>
      </c>
      <c r="J458">
        <v>0.137973404</v>
      </c>
      <c r="K458">
        <v>21500</v>
      </c>
      <c r="L458">
        <v>253482.43</v>
      </c>
      <c r="M458">
        <v>32467.51</v>
      </c>
      <c r="N458">
        <v>17.89</v>
      </c>
      <c r="O458">
        <v>384635</v>
      </c>
      <c r="P458">
        <v>53069.4</v>
      </c>
      <c r="Q458">
        <v>0</v>
      </c>
      <c r="R458">
        <v>0</v>
      </c>
      <c r="S458">
        <v>0.026</v>
      </c>
      <c r="T458" t="s">
        <v>25</v>
      </c>
    </row>
    <row r="459" spans="1:20" ht="15">
      <c r="A459" t="s">
        <v>19</v>
      </c>
      <c r="B459" t="s">
        <v>20</v>
      </c>
      <c r="C459" t="str">
        <f t="shared" si="7"/>
        <v>31-Dec-21</v>
      </c>
      <c r="D459" t="s">
        <v>21</v>
      </c>
      <c r="E459" t="s">
        <v>22</v>
      </c>
      <c r="F459" t="str">
        <f>"BD5CJP9"</f>
        <v>BD5CJP9</v>
      </c>
      <c r="G459" t="s">
        <v>486</v>
      </c>
      <c r="I459" t="s">
        <v>156</v>
      </c>
      <c r="J459">
        <v>0.137973404</v>
      </c>
      <c r="K459">
        <v>3700</v>
      </c>
      <c r="L459">
        <v>98035.64</v>
      </c>
      <c r="M459">
        <v>12496.19</v>
      </c>
      <c r="N459">
        <v>21.54</v>
      </c>
      <c r="O459">
        <v>79698</v>
      </c>
      <c r="P459">
        <v>10996.2</v>
      </c>
      <c r="Q459">
        <v>0</v>
      </c>
      <c r="R459">
        <v>0</v>
      </c>
      <c r="S459">
        <v>0.005</v>
      </c>
      <c r="T459" t="s">
        <v>25</v>
      </c>
    </row>
    <row r="460" spans="1:20" ht="15">
      <c r="A460" t="s">
        <v>19</v>
      </c>
      <c r="B460" t="s">
        <v>20</v>
      </c>
      <c r="C460" t="str">
        <f t="shared" si="7"/>
        <v>31-Dec-21</v>
      </c>
      <c r="D460" t="s">
        <v>21</v>
      </c>
      <c r="E460" t="s">
        <v>22</v>
      </c>
      <c r="F460" t="str">
        <f>"BFY8H81"</f>
        <v>BFY8H81</v>
      </c>
      <c r="G460" t="s">
        <v>487</v>
      </c>
      <c r="I460" t="s">
        <v>156</v>
      </c>
      <c r="J460">
        <v>0.137973404</v>
      </c>
      <c r="K460">
        <v>2100</v>
      </c>
      <c r="L460">
        <v>144000.61</v>
      </c>
      <c r="M460">
        <v>18355.15</v>
      </c>
      <c r="N460">
        <v>84.48</v>
      </c>
      <c r="O460">
        <v>177408</v>
      </c>
      <c r="P460">
        <v>24477.59</v>
      </c>
      <c r="Q460">
        <v>0</v>
      </c>
      <c r="R460">
        <v>0</v>
      </c>
      <c r="S460">
        <v>0.012</v>
      </c>
      <c r="T460" t="s">
        <v>25</v>
      </c>
    </row>
    <row r="461" spans="1:20" ht="15">
      <c r="A461" t="s">
        <v>19</v>
      </c>
      <c r="B461" t="s">
        <v>20</v>
      </c>
      <c r="C461" t="str">
        <f t="shared" si="7"/>
        <v>31-Dec-21</v>
      </c>
      <c r="D461" t="s">
        <v>21</v>
      </c>
      <c r="E461" t="s">
        <v>22</v>
      </c>
      <c r="F461" t="str">
        <f>"BD5CPT5"</f>
        <v>BD5CPT5</v>
      </c>
      <c r="G461" t="s">
        <v>488</v>
      </c>
      <c r="I461" t="s">
        <v>156</v>
      </c>
      <c r="J461">
        <v>0.137973404</v>
      </c>
      <c r="K461">
        <v>7200</v>
      </c>
      <c r="L461">
        <v>232193.98</v>
      </c>
      <c r="M461">
        <v>29740.76</v>
      </c>
      <c r="N461">
        <v>19.26</v>
      </c>
      <c r="O461">
        <v>138672</v>
      </c>
      <c r="P461">
        <v>19133.05</v>
      </c>
      <c r="Q461">
        <v>0</v>
      </c>
      <c r="R461">
        <v>0</v>
      </c>
      <c r="S461">
        <v>0.009</v>
      </c>
      <c r="T461" t="s">
        <v>25</v>
      </c>
    </row>
    <row r="462" spans="1:20" ht="15">
      <c r="A462" t="s">
        <v>19</v>
      </c>
      <c r="B462" t="s">
        <v>20</v>
      </c>
      <c r="C462" t="str">
        <f t="shared" si="7"/>
        <v>31-Dec-21</v>
      </c>
      <c r="D462" t="s">
        <v>21</v>
      </c>
      <c r="E462" t="s">
        <v>22</v>
      </c>
      <c r="F462" t="str">
        <f>"BD5CP73"</f>
        <v>BD5CP73</v>
      </c>
      <c r="G462" t="s">
        <v>489</v>
      </c>
      <c r="I462" t="s">
        <v>156</v>
      </c>
      <c r="J462">
        <v>0.137973404</v>
      </c>
      <c r="K462">
        <v>24500</v>
      </c>
      <c r="L462">
        <v>199046.39</v>
      </c>
      <c r="M462">
        <v>25143.7</v>
      </c>
      <c r="N462">
        <v>8.07</v>
      </c>
      <c r="O462">
        <v>197715</v>
      </c>
      <c r="P462">
        <v>27279.41</v>
      </c>
      <c r="Q462">
        <v>0</v>
      </c>
      <c r="R462">
        <v>0</v>
      </c>
      <c r="S462">
        <v>0.014</v>
      </c>
      <c r="T462" t="s">
        <v>25</v>
      </c>
    </row>
    <row r="463" spans="1:20" ht="15">
      <c r="A463" t="s">
        <v>19</v>
      </c>
      <c r="B463" t="s">
        <v>20</v>
      </c>
      <c r="C463" t="str">
        <f t="shared" si="7"/>
        <v>31-Dec-21</v>
      </c>
      <c r="D463" t="s">
        <v>21</v>
      </c>
      <c r="E463" t="s">
        <v>22</v>
      </c>
      <c r="F463" t="str">
        <f>"BK947V2"</f>
        <v>BK947V2</v>
      </c>
      <c r="G463" t="s">
        <v>490</v>
      </c>
      <c r="I463" t="s">
        <v>156</v>
      </c>
      <c r="J463">
        <v>0.137973404</v>
      </c>
      <c r="K463">
        <v>1494</v>
      </c>
      <c r="L463">
        <v>219912.81</v>
      </c>
      <c r="M463">
        <v>29116.54</v>
      </c>
      <c r="N463">
        <v>310.77</v>
      </c>
      <c r="O463">
        <v>464290.38</v>
      </c>
      <c r="P463">
        <v>64059.72</v>
      </c>
      <c r="Q463">
        <v>0</v>
      </c>
      <c r="R463">
        <v>0</v>
      </c>
      <c r="S463">
        <v>0.032</v>
      </c>
      <c r="T463" t="s">
        <v>25</v>
      </c>
    </row>
    <row r="464" spans="1:20" ht="15">
      <c r="A464" t="s">
        <v>19</v>
      </c>
      <c r="B464" t="s">
        <v>20</v>
      </c>
      <c r="C464" t="str">
        <f t="shared" si="7"/>
        <v>31-Dec-21</v>
      </c>
      <c r="D464" t="s">
        <v>21</v>
      </c>
      <c r="E464" t="s">
        <v>22</v>
      </c>
      <c r="F464" t="str">
        <f>"BK4PZC7"</f>
        <v>BK4PZC7</v>
      </c>
      <c r="G464" t="s">
        <v>491</v>
      </c>
      <c r="I464" t="s">
        <v>156</v>
      </c>
      <c r="J464">
        <v>0.137973404</v>
      </c>
      <c r="K464">
        <v>2800</v>
      </c>
      <c r="L464">
        <v>320669.25</v>
      </c>
      <c r="M464">
        <v>40548.77</v>
      </c>
      <c r="N464">
        <v>129.3</v>
      </c>
      <c r="O464">
        <v>362040</v>
      </c>
      <c r="P464">
        <v>49951.89</v>
      </c>
      <c r="Q464">
        <v>0</v>
      </c>
      <c r="R464">
        <v>0</v>
      </c>
      <c r="S464">
        <v>0.025</v>
      </c>
      <c r="T464" t="s">
        <v>25</v>
      </c>
    </row>
    <row r="465" spans="1:20" ht="15">
      <c r="A465" t="s">
        <v>19</v>
      </c>
      <c r="B465" t="s">
        <v>20</v>
      </c>
      <c r="C465" t="str">
        <f t="shared" si="7"/>
        <v>31-Dec-21</v>
      </c>
      <c r="D465" t="s">
        <v>21</v>
      </c>
      <c r="E465" t="s">
        <v>22</v>
      </c>
      <c r="F465" t="str">
        <f>"BD5CKZ6"</f>
        <v>BD5CKZ6</v>
      </c>
      <c r="G465" t="s">
        <v>492</v>
      </c>
      <c r="I465" t="s">
        <v>156</v>
      </c>
      <c r="J465">
        <v>0.137973404</v>
      </c>
      <c r="K465">
        <v>8970</v>
      </c>
      <c r="L465">
        <v>185590.02</v>
      </c>
      <c r="M465">
        <v>24026.15</v>
      </c>
      <c r="N465">
        <v>16.76</v>
      </c>
      <c r="O465">
        <v>150337.2</v>
      </c>
      <c r="P465">
        <v>20742.54</v>
      </c>
      <c r="Q465">
        <v>0</v>
      </c>
      <c r="R465">
        <v>0</v>
      </c>
      <c r="S465">
        <v>0.01</v>
      </c>
      <c r="T465" t="s">
        <v>25</v>
      </c>
    </row>
    <row r="466" spans="1:20" ht="15">
      <c r="A466" t="s">
        <v>19</v>
      </c>
      <c r="B466" t="s">
        <v>20</v>
      </c>
      <c r="C466" t="str">
        <f t="shared" si="7"/>
        <v>31-Dec-21</v>
      </c>
      <c r="D466" t="s">
        <v>21</v>
      </c>
      <c r="E466" t="s">
        <v>22</v>
      </c>
      <c r="F466" t="str">
        <f>"BHWLWV4"</f>
        <v>BHWLWV4</v>
      </c>
      <c r="G466" t="s">
        <v>493</v>
      </c>
      <c r="I466" t="s">
        <v>156</v>
      </c>
      <c r="J466">
        <v>0.137973404</v>
      </c>
      <c r="K466">
        <v>2668</v>
      </c>
      <c r="L466">
        <v>142913.77</v>
      </c>
      <c r="M466">
        <v>18149.79</v>
      </c>
      <c r="N466">
        <v>118.58</v>
      </c>
      <c r="O466">
        <v>316371.44</v>
      </c>
      <c r="P466">
        <v>43650.84</v>
      </c>
      <c r="Q466">
        <v>0</v>
      </c>
      <c r="R466">
        <v>0</v>
      </c>
      <c r="S466">
        <v>0.022</v>
      </c>
      <c r="T466" t="s">
        <v>25</v>
      </c>
    </row>
    <row r="467" spans="1:20" ht="15">
      <c r="A467" t="s">
        <v>19</v>
      </c>
      <c r="B467" t="s">
        <v>20</v>
      </c>
      <c r="C467" t="str">
        <f t="shared" si="7"/>
        <v>31-Dec-21</v>
      </c>
      <c r="D467" t="s">
        <v>21</v>
      </c>
      <c r="E467" t="s">
        <v>22</v>
      </c>
      <c r="F467" t="str">
        <f>"BP3RFD0"</f>
        <v>BP3RFD0</v>
      </c>
      <c r="G467" t="s">
        <v>494</v>
      </c>
      <c r="I467" t="s">
        <v>156</v>
      </c>
      <c r="J467">
        <v>0.137973404</v>
      </c>
      <c r="K467">
        <v>22700</v>
      </c>
      <c r="L467">
        <v>100622.21</v>
      </c>
      <c r="M467">
        <v>12825.89</v>
      </c>
      <c r="N467">
        <v>5.92</v>
      </c>
      <c r="O467">
        <v>134384</v>
      </c>
      <c r="P467">
        <v>18541.42</v>
      </c>
      <c r="Q467">
        <v>0</v>
      </c>
      <c r="R467">
        <v>0</v>
      </c>
      <c r="S467">
        <v>0.009</v>
      </c>
      <c r="T467" t="s">
        <v>25</v>
      </c>
    </row>
    <row r="468" spans="1:20" ht="15">
      <c r="A468" t="s">
        <v>19</v>
      </c>
      <c r="B468" t="s">
        <v>20</v>
      </c>
      <c r="C468" t="str">
        <f t="shared" si="7"/>
        <v>31-Dec-21</v>
      </c>
      <c r="D468" t="s">
        <v>21</v>
      </c>
      <c r="E468" t="s">
        <v>22</v>
      </c>
      <c r="F468" t="str">
        <f>"BD5CGD6"</f>
        <v>BD5CGD6</v>
      </c>
      <c r="G468" t="s">
        <v>495</v>
      </c>
      <c r="I468" t="s">
        <v>156</v>
      </c>
      <c r="J468">
        <v>0.137973404</v>
      </c>
      <c r="K468">
        <v>7574</v>
      </c>
      <c r="L468">
        <v>193501.28</v>
      </c>
      <c r="M468">
        <v>24926.54</v>
      </c>
      <c r="N468">
        <v>24.21</v>
      </c>
      <c r="O468">
        <v>183366.54</v>
      </c>
      <c r="P468">
        <v>25299.71</v>
      </c>
      <c r="Q468">
        <v>0</v>
      </c>
      <c r="R468">
        <v>0</v>
      </c>
      <c r="S468">
        <v>0.013</v>
      </c>
      <c r="T468" t="s">
        <v>25</v>
      </c>
    </row>
    <row r="469" spans="1:20" ht="15">
      <c r="A469" t="s">
        <v>19</v>
      </c>
      <c r="B469" t="s">
        <v>20</v>
      </c>
      <c r="C469" t="str">
        <f t="shared" si="7"/>
        <v>31-Dec-21</v>
      </c>
      <c r="D469" t="s">
        <v>21</v>
      </c>
      <c r="E469" t="s">
        <v>22</v>
      </c>
      <c r="F469" t="str">
        <f>"BD5CMH2"</f>
        <v>BD5CMH2</v>
      </c>
      <c r="G469" t="s">
        <v>496</v>
      </c>
      <c r="I469" t="s">
        <v>156</v>
      </c>
      <c r="J469">
        <v>0.137973404</v>
      </c>
      <c r="K469">
        <v>6000</v>
      </c>
      <c r="L469">
        <v>210151.77</v>
      </c>
      <c r="M469">
        <v>27824.18</v>
      </c>
      <c r="N469">
        <v>27.02</v>
      </c>
      <c r="O469">
        <v>162120</v>
      </c>
      <c r="P469">
        <v>22368.25</v>
      </c>
      <c r="Q469">
        <v>0</v>
      </c>
      <c r="R469">
        <v>0</v>
      </c>
      <c r="S469">
        <v>0.011</v>
      </c>
      <c r="T469" t="s">
        <v>25</v>
      </c>
    </row>
    <row r="470" spans="1:20" ht="15">
      <c r="A470" t="s">
        <v>19</v>
      </c>
      <c r="B470" t="s">
        <v>20</v>
      </c>
      <c r="C470" t="str">
        <f t="shared" si="7"/>
        <v>31-Dec-21</v>
      </c>
      <c r="D470" t="s">
        <v>21</v>
      </c>
      <c r="E470" t="s">
        <v>22</v>
      </c>
      <c r="F470" t="str">
        <f>"BD5CPG2"</f>
        <v>BD5CPG2</v>
      </c>
      <c r="G470" t="s">
        <v>497</v>
      </c>
      <c r="I470" t="s">
        <v>156</v>
      </c>
      <c r="J470">
        <v>0.137973404</v>
      </c>
      <c r="K470">
        <v>9000</v>
      </c>
      <c r="L470">
        <v>1285604.76</v>
      </c>
      <c r="M470">
        <v>164127.49</v>
      </c>
      <c r="N470">
        <v>222.66</v>
      </c>
      <c r="O470">
        <v>2003940</v>
      </c>
      <c r="P470">
        <v>276490.42</v>
      </c>
      <c r="Q470">
        <v>0</v>
      </c>
      <c r="R470">
        <v>0</v>
      </c>
      <c r="S470">
        <v>0.137</v>
      </c>
      <c r="T470" t="s">
        <v>25</v>
      </c>
    </row>
    <row r="471" spans="1:20" ht="15">
      <c r="A471" t="s">
        <v>19</v>
      </c>
      <c r="B471" t="s">
        <v>20</v>
      </c>
      <c r="C471" t="str">
        <f t="shared" si="7"/>
        <v>31-Dec-21</v>
      </c>
      <c r="D471" t="s">
        <v>21</v>
      </c>
      <c r="E471" t="s">
        <v>22</v>
      </c>
      <c r="F471" t="str">
        <f>"BD6QWJ5"</f>
        <v>BD6QWJ5</v>
      </c>
      <c r="G471" t="s">
        <v>498</v>
      </c>
      <c r="I471" t="s">
        <v>156</v>
      </c>
      <c r="J471">
        <v>0.137973404</v>
      </c>
      <c r="K471">
        <v>2140</v>
      </c>
      <c r="L471">
        <v>71293.72</v>
      </c>
      <c r="M471">
        <v>9229.56</v>
      </c>
      <c r="N471">
        <v>74.37</v>
      </c>
      <c r="O471">
        <v>159151.8</v>
      </c>
      <c r="P471">
        <v>21958.72</v>
      </c>
      <c r="Q471">
        <v>0</v>
      </c>
      <c r="R471">
        <v>0</v>
      </c>
      <c r="S471">
        <v>0.011</v>
      </c>
      <c r="T471" t="s">
        <v>25</v>
      </c>
    </row>
    <row r="472" spans="1:20" ht="15">
      <c r="A472" t="s">
        <v>19</v>
      </c>
      <c r="B472" t="s">
        <v>20</v>
      </c>
      <c r="C472" t="str">
        <f t="shared" si="7"/>
        <v>31-Dec-21</v>
      </c>
      <c r="D472" t="s">
        <v>21</v>
      </c>
      <c r="E472" t="s">
        <v>22</v>
      </c>
      <c r="F472" t="str">
        <f>"BD5CM27"</f>
        <v>BD5CM27</v>
      </c>
      <c r="G472" t="s">
        <v>499</v>
      </c>
      <c r="I472" t="s">
        <v>156</v>
      </c>
      <c r="J472">
        <v>0.137973404</v>
      </c>
      <c r="K472">
        <v>16700</v>
      </c>
      <c r="L472">
        <v>73554.12</v>
      </c>
      <c r="M472">
        <v>9522.47</v>
      </c>
      <c r="N472">
        <v>5.99</v>
      </c>
      <c r="O472">
        <v>100033</v>
      </c>
      <c r="P472">
        <v>13801.89</v>
      </c>
      <c r="Q472">
        <v>0</v>
      </c>
      <c r="R472">
        <v>0</v>
      </c>
      <c r="S472">
        <v>0.007</v>
      </c>
      <c r="T472" t="s">
        <v>25</v>
      </c>
    </row>
    <row r="473" spans="1:20" ht="15">
      <c r="A473" t="s">
        <v>19</v>
      </c>
      <c r="B473" t="s">
        <v>20</v>
      </c>
      <c r="C473" t="str">
        <f t="shared" si="7"/>
        <v>31-Dec-21</v>
      </c>
      <c r="D473" t="s">
        <v>21</v>
      </c>
      <c r="E473" t="s">
        <v>22</v>
      </c>
      <c r="F473" t="str">
        <f>"BP3R6L5"</f>
        <v>BP3R6L5</v>
      </c>
      <c r="G473" t="s">
        <v>500</v>
      </c>
      <c r="I473" t="s">
        <v>156</v>
      </c>
      <c r="J473">
        <v>0.137973404</v>
      </c>
      <c r="K473">
        <v>10200</v>
      </c>
      <c r="L473">
        <v>93162.26</v>
      </c>
      <c r="M473">
        <v>11768.33</v>
      </c>
      <c r="N473">
        <v>9.07</v>
      </c>
      <c r="O473">
        <v>92514</v>
      </c>
      <c r="P473">
        <v>12764.47</v>
      </c>
      <c r="Q473">
        <v>0</v>
      </c>
      <c r="R473">
        <v>0</v>
      </c>
      <c r="S473">
        <v>0.006</v>
      </c>
      <c r="T473" t="s">
        <v>25</v>
      </c>
    </row>
    <row r="474" spans="1:20" ht="15">
      <c r="A474" t="s">
        <v>19</v>
      </c>
      <c r="B474" t="s">
        <v>20</v>
      </c>
      <c r="C474" t="str">
        <f t="shared" si="7"/>
        <v>31-Dec-21</v>
      </c>
      <c r="D474" t="s">
        <v>21</v>
      </c>
      <c r="E474" t="s">
        <v>22</v>
      </c>
      <c r="F474" t="str">
        <f>"BP3R6F9"</f>
        <v>BP3R6F9</v>
      </c>
      <c r="G474" t="s">
        <v>501</v>
      </c>
      <c r="I474" t="s">
        <v>156</v>
      </c>
      <c r="J474">
        <v>0.137973404</v>
      </c>
      <c r="K474">
        <v>5300</v>
      </c>
      <c r="L474">
        <v>84321.3</v>
      </c>
      <c r="M474">
        <v>10724.33</v>
      </c>
      <c r="N474">
        <v>22.63</v>
      </c>
      <c r="O474">
        <v>119939</v>
      </c>
      <c r="P474">
        <v>16548.39</v>
      </c>
      <c r="Q474">
        <v>0</v>
      </c>
      <c r="R474">
        <v>0</v>
      </c>
      <c r="S474">
        <v>0.008</v>
      </c>
      <c r="T474" t="s">
        <v>25</v>
      </c>
    </row>
    <row r="475" spans="1:20" ht="15">
      <c r="A475" t="s">
        <v>19</v>
      </c>
      <c r="B475" t="s">
        <v>20</v>
      </c>
      <c r="C475" t="str">
        <f t="shared" si="7"/>
        <v>31-Dec-21</v>
      </c>
      <c r="D475" t="s">
        <v>21</v>
      </c>
      <c r="E475" t="s">
        <v>22</v>
      </c>
      <c r="F475" t="str">
        <f>"BD5CQ58"</f>
        <v>BD5CQ58</v>
      </c>
      <c r="G475" t="s">
        <v>502</v>
      </c>
      <c r="I475" t="s">
        <v>156</v>
      </c>
      <c r="J475">
        <v>0.137973404</v>
      </c>
      <c r="K475">
        <v>17900</v>
      </c>
      <c r="L475">
        <v>228265.28</v>
      </c>
      <c r="M475">
        <v>28989.27</v>
      </c>
      <c r="N475">
        <v>16.47</v>
      </c>
      <c r="O475">
        <v>294813</v>
      </c>
      <c r="P475">
        <v>40676.35</v>
      </c>
      <c r="Q475">
        <v>0</v>
      </c>
      <c r="R475">
        <v>0</v>
      </c>
      <c r="S475">
        <v>0.02</v>
      </c>
      <c r="T475" t="s">
        <v>25</v>
      </c>
    </row>
    <row r="476" spans="1:20" ht="15">
      <c r="A476" t="s">
        <v>19</v>
      </c>
      <c r="B476" t="s">
        <v>20</v>
      </c>
      <c r="C476" t="str">
        <f t="shared" si="7"/>
        <v>31-Dec-21</v>
      </c>
      <c r="D476" t="s">
        <v>21</v>
      </c>
      <c r="E476" t="s">
        <v>22</v>
      </c>
      <c r="F476" t="str">
        <f>"BD5CF06"</f>
        <v>BD5CF06</v>
      </c>
      <c r="G476" t="s">
        <v>503</v>
      </c>
      <c r="I476" t="s">
        <v>156</v>
      </c>
      <c r="J476">
        <v>0.137973404</v>
      </c>
      <c r="K476">
        <v>4900</v>
      </c>
      <c r="L476">
        <v>81438.54</v>
      </c>
      <c r="M476">
        <v>10357.69</v>
      </c>
      <c r="N476">
        <v>16.89</v>
      </c>
      <c r="O476">
        <v>82761</v>
      </c>
      <c r="P476">
        <v>11418.82</v>
      </c>
      <c r="Q476">
        <v>0</v>
      </c>
      <c r="R476">
        <v>0</v>
      </c>
      <c r="S476">
        <v>0.006</v>
      </c>
      <c r="T476" t="s">
        <v>25</v>
      </c>
    </row>
    <row r="477" spans="1:20" ht="15">
      <c r="A477" t="s">
        <v>19</v>
      </c>
      <c r="B477" t="s">
        <v>20</v>
      </c>
      <c r="C477" t="str">
        <f t="shared" si="7"/>
        <v>31-Dec-21</v>
      </c>
      <c r="D477" t="s">
        <v>21</v>
      </c>
      <c r="E477" t="s">
        <v>22</v>
      </c>
      <c r="F477" t="str">
        <f>"BYW5QJ1"</f>
        <v>BYW5QJ1</v>
      </c>
      <c r="G477" t="s">
        <v>504</v>
      </c>
      <c r="I477" t="s">
        <v>156</v>
      </c>
      <c r="J477">
        <v>0.137973404</v>
      </c>
      <c r="K477">
        <v>9400</v>
      </c>
      <c r="L477">
        <v>153492.92</v>
      </c>
      <c r="M477">
        <v>19389.35</v>
      </c>
      <c r="N477">
        <v>16.68</v>
      </c>
      <c r="O477">
        <v>156792</v>
      </c>
      <c r="P477">
        <v>21633.13</v>
      </c>
      <c r="Q477">
        <v>0</v>
      </c>
      <c r="R477">
        <v>0</v>
      </c>
      <c r="S477">
        <v>0.011</v>
      </c>
      <c r="T477" t="s">
        <v>25</v>
      </c>
    </row>
    <row r="478" spans="1:20" ht="15">
      <c r="A478" t="s">
        <v>19</v>
      </c>
      <c r="B478" t="s">
        <v>20</v>
      </c>
      <c r="C478" t="str">
        <f t="shared" si="7"/>
        <v>31-Dec-21</v>
      </c>
      <c r="D478" t="s">
        <v>21</v>
      </c>
      <c r="E478" t="s">
        <v>22</v>
      </c>
      <c r="F478" t="str">
        <f>"BD5CKQ7"</f>
        <v>BD5CKQ7</v>
      </c>
      <c r="G478" t="s">
        <v>505</v>
      </c>
      <c r="I478" t="s">
        <v>156</v>
      </c>
      <c r="J478">
        <v>0.137973404</v>
      </c>
      <c r="K478">
        <v>14600</v>
      </c>
      <c r="L478">
        <v>96274.03</v>
      </c>
      <c r="M478">
        <v>12161.41</v>
      </c>
      <c r="N478">
        <v>3.02</v>
      </c>
      <c r="O478">
        <v>44092</v>
      </c>
      <c r="P478">
        <v>6083.52</v>
      </c>
      <c r="Q478">
        <v>0</v>
      </c>
      <c r="R478">
        <v>0</v>
      </c>
      <c r="S478">
        <v>0.003</v>
      </c>
      <c r="T478" t="s">
        <v>25</v>
      </c>
    </row>
    <row r="479" spans="1:20" ht="15">
      <c r="A479" t="s">
        <v>19</v>
      </c>
      <c r="B479" t="s">
        <v>20</v>
      </c>
      <c r="C479" t="str">
        <f t="shared" si="7"/>
        <v>31-Dec-21</v>
      </c>
      <c r="D479" t="s">
        <v>21</v>
      </c>
      <c r="E479" t="s">
        <v>22</v>
      </c>
      <c r="F479" t="str">
        <f>"BK947P6"</f>
        <v>BK947P6</v>
      </c>
      <c r="G479" t="s">
        <v>506</v>
      </c>
      <c r="I479" t="s">
        <v>156</v>
      </c>
      <c r="J479">
        <v>0.137973404</v>
      </c>
      <c r="K479">
        <v>3780</v>
      </c>
      <c r="L479">
        <v>141295.96</v>
      </c>
      <c r="M479">
        <v>18010.4</v>
      </c>
      <c r="N479">
        <v>31.92</v>
      </c>
      <c r="O479">
        <v>120657.6</v>
      </c>
      <c r="P479">
        <v>16647.54</v>
      </c>
      <c r="Q479">
        <v>0</v>
      </c>
      <c r="R479">
        <v>0</v>
      </c>
      <c r="S479">
        <v>0.008</v>
      </c>
      <c r="T479" t="s">
        <v>25</v>
      </c>
    </row>
    <row r="480" spans="1:20" ht="15">
      <c r="A480" t="s">
        <v>19</v>
      </c>
      <c r="B480" t="s">
        <v>20</v>
      </c>
      <c r="C480" t="str">
        <f t="shared" si="7"/>
        <v>31-Dec-21</v>
      </c>
      <c r="D480" t="s">
        <v>21</v>
      </c>
      <c r="E480" t="s">
        <v>22</v>
      </c>
      <c r="F480" t="str">
        <f>"BD5CMC7"</f>
        <v>BD5CMC7</v>
      </c>
      <c r="G480" t="s">
        <v>507</v>
      </c>
      <c r="I480" t="s">
        <v>156</v>
      </c>
      <c r="J480">
        <v>0.137973404</v>
      </c>
      <c r="K480">
        <v>2700</v>
      </c>
      <c r="L480">
        <v>84435.81</v>
      </c>
      <c r="M480">
        <v>10666</v>
      </c>
      <c r="N480">
        <v>40</v>
      </c>
      <c r="O480">
        <v>108000</v>
      </c>
      <c r="P480">
        <v>14901.13</v>
      </c>
      <c r="Q480">
        <v>0</v>
      </c>
      <c r="R480">
        <v>0</v>
      </c>
      <c r="S480">
        <v>0.007</v>
      </c>
      <c r="T480" t="s">
        <v>25</v>
      </c>
    </row>
    <row r="481" spans="1:20" ht="15">
      <c r="A481" t="s">
        <v>19</v>
      </c>
      <c r="B481" t="s">
        <v>20</v>
      </c>
      <c r="C481" t="str">
        <f t="shared" si="7"/>
        <v>31-Dec-21</v>
      </c>
      <c r="D481" t="s">
        <v>21</v>
      </c>
      <c r="E481" t="s">
        <v>22</v>
      </c>
      <c r="F481" t="str">
        <f>"BFCCR07"</f>
        <v>BFCCR07</v>
      </c>
      <c r="G481" t="s">
        <v>508</v>
      </c>
      <c r="I481" t="s">
        <v>156</v>
      </c>
      <c r="J481">
        <v>0.137973404</v>
      </c>
      <c r="K481">
        <v>3250</v>
      </c>
      <c r="L481">
        <v>179518.19</v>
      </c>
      <c r="M481">
        <v>23037.31</v>
      </c>
      <c r="N481">
        <v>81.45</v>
      </c>
      <c r="O481">
        <v>264712.5</v>
      </c>
      <c r="P481">
        <v>36523.28</v>
      </c>
      <c r="Q481">
        <v>0</v>
      </c>
      <c r="R481">
        <v>0</v>
      </c>
      <c r="S481">
        <v>0.018</v>
      </c>
      <c r="T481" t="s">
        <v>25</v>
      </c>
    </row>
    <row r="482" spans="1:20" ht="15">
      <c r="A482" t="s">
        <v>19</v>
      </c>
      <c r="B482" t="s">
        <v>20</v>
      </c>
      <c r="C482" t="str">
        <f t="shared" si="7"/>
        <v>31-Dec-21</v>
      </c>
      <c r="D482" t="s">
        <v>21</v>
      </c>
      <c r="E482" t="s">
        <v>22</v>
      </c>
      <c r="F482" t="str">
        <f>"BD5CDK2"</f>
        <v>BD5CDK2</v>
      </c>
      <c r="G482" t="s">
        <v>509</v>
      </c>
      <c r="I482" t="s">
        <v>156</v>
      </c>
      <c r="J482">
        <v>0.137973404</v>
      </c>
      <c r="K482">
        <v>8600</v>
      </c>
      <c r="L482">
        <v>197188.95</v>
      </c>
      <c r="M482">
        <v>24909.07</v>
      </c>
      <c r="N482">
        <v>17.62</v>
      </c>
      <c r="O482">
        <v>151532</v>
      </c>
      <c r="P482">
        <v>20907.39</v>
      </c>
      <c r="Q482">
        <v>0</v>
      </c>
      <c r="R482">
        <v>0</v>
      </c>
      <c r="S482">
        <v>0.01</v>
      </c>
      <c r="T482" t="s">
        <v>25</v>
      </c>
    </row>
    <row r="483" spans="1:20" ht="15">
      <c r="A483" t="s">
        <v>19</v>
      </c>
      <c r="B483" t="s">
        <v>20</v>
      </c>
      <c r="C483" t="str">
        <f t="shared" si="7"/>
        <v>31-Dec-21</v>
      </c>
      <c r="D483" t="s">
        <v>21</v>
      </c>
      <c r="E483" t="s">
        <v>22</v>
      </c>
      <c r="F483" t="str">
        <f>"BYYFJV2"</f>
        <v>BYYFJV2</v>
      </c>
      <c r="G483" t="s">
        <v>510</v>
      </c>
      <c r="I483" t="s">
        <v>156</v>
      </c>
      <c r="J483">
        <v>0.137973404</v>
      </c>
      <c r="K483">
        <v>4160</v>
      </c>
      <c r="L483">
        <v>282273.79</v>
      </c>
      <c r="M483">
        <v>34403.51</v>
      </c>
      <c r="N483">
        <v>55.11</v>
      </c>
      <c r="O483">
        <v>229257.6</v>
      </c>
      <c r="P483">
        <v>31631.45</v>
      </c>
      <c r="Q483">
        <v>0</v>
      </c>
      <c r="R483">
        <v>0</v>
      </c>
      <c r="S483">
        <v>0.016</v>
      </c>
      <c r="T483" t="s">
        <v>25</v>
      </c>
    </row>
    <row r="484" spans="1:20" ht="15">
      <c r="A484" t="s">
        <v>19</v>
      </c>
      <c r="B484" t="s">
        <v>20</v>
      </c>
      <c r="C484" t="str">
        <f t="shared" si="7"/>
        <v>31-Dec-21</v>
      </c>
      <c r="D484" t="s">
        <v>21</v>
      </c>
      <c r="E484" t="s">
        <v>22</v>
      </c>
      <c r="F484" t="str">
        <f>"BP3R5Q3"</f>
        <v>BP3R5Q3</v>
      </c>
      <c r="G484" t="s">
        <v>511</v>
      </c>
      <c r="I484" t="s">
        <v>156</v>
      </c>
      <c r="J484">
        <v>0.137973404</v>
      </c>
      <c r="K484">
        <v>27700</v>
      </c>
      <c r="L484">
        <v>252601.54</v>
      </c>
      <c r="M484">
        <v>32354.68</v>
      </c>
      <c r="N484">
        <v>4.05</v>
      </c>
      <c r="O484">
        <v>112185</v>
      </c>
      <c r="P484">
        <v>15478.55</v>
      </c>
      <c r="Q484">
        <v>0</v>
      </c>
      <c r="R484">
        <v>0</v>
      </c>
      <c r="S484">
        <v>0.008</v>
      </c>
      <c r="T484" t="s">
        <v>25</v>
      </c>
    </row>
    <row r="485" spans="1:20" ht="15">
      <c r="A485" t="s">
        <v>19</v>
      </c>
      <c r="B485" t="s">
        <v>20</v>
      </c>
      <c r="C485" t="str">
        <f t="shared" si="7"/>
        <v>31-Dec-21</v>
      </c>
      <c r="D485" t="s">
        <v>21</v>
      </c>
      <c r="E485" t="s">
        <v>22</v>
      </c>
      <c r="F485" t="str">
        <f>"BP3R6C6"</f>
        <v>BP3R6C6</v>
      </c>
      <c r="G485" t="s">
        <v>512</v>
      </c>
      <c r="I485" t="s">
        <v>156</v>
      </c>
      <c r="J485">
        <v>0.137973404</v>
      </c>
      <c r="K485">
        <v>6790</v>
      </c>
      <c r="L485">
        <v>212683.09</v>
      </c>
      <c r="M485">
        <v>27195.17</v>
      </c>
      <c r="N485">
        <v>35.88</v>
      </c>
      <c r="O485">
        <v>243625.2</v>
      </c>
      <c r="P485">
        <v>33613.8</v>
      </c>
      <c r="Q485">
        <v>0</v>
      </c>
      <c r="R485">
        <v>0</v>
      </c>
      <c r="S485">
        <v>0.017</v>
      </c>
      <c r="T485" t="s">
        <v>25</v>
      </c>
    </row>
    <row r="486" spans="1:20" ht="15">
      <c r="A486" t="s">
        <v>19</v>
      </c>
      <c r="B486" t="s">
        <v>20</v>
      </c>
      <c r="C486" t="str">
        <f t="shared" si="7"/>
        <v>31-Dec-21</v>
      </c>
      <c r="D486" t="s">
        <v>21</v>
      </c>
      <c r="E486" t="s">
        <v>22</v>
      </c>
      <c r="F486" t="str">
        <f>"BP3R6R1"</f>
        <v>BP3R6R1</v>
      </c>
      <c r="G486" t="s">
        <v>513</v>
      </c>
      <c r="I486" t="s">
        <v>156</v>
      </c>
      <c r="J486">
        <v>0.137973404</v>
      </c>
      <c r="K486">
        <v>3965</v>
      </c>
      <c r="L486">
        <v>26054.5</v>
      </c>
      <c r="M486">
        <v>3449.63</v>
      </c>
      <c r="N486">
        <v>6.89</v>
      </c>
      <c r="O486">
        <v>27318.85</v>
      </c>
      <c r="P486">
        <v>3769.27</v>
      </c>
      <c r="Q486">
        <v>0</v>
      </c>
      <c r="R486">
        <v>0</v>
      </c>
      <c r="S486">
        <v>0.002</v>
      </c>
      <c r="T486" t="s">
        <v>25</v>
      </c>
    </row>
    <row r="487" spans="1:20" ht="15">
      <c r="A487" t="s">
        <v>19</v>
      </c>
      <c r="B487" t="s">
        <v>20</v>
      </c>
      <c r="C487" t="str">
        <f t="shared" si="7"/>
        <v>31-Dec-21</v>
      </c>
      <c r="D487" t="s">
        <v>21</v>
      </c>
      <c r="E487" t="s">
        <v>22</v>
      </c>
      <c r="F487" t="str">
        <f>"BD5CK34"</f>
        <v>BD5CK34</v>
      </c>
      <c r="G487" t="s">
        <v>514</v>
      </c>
      <c r="I487" t="s">
        <v>156</v>
      </c>
      <c r="J487">
        <v>0.137973404</v>
      </c>
      <c r="K487">
        <v>6000</v>
      </c>
      <c r="L487">
        <v>104883.8</v>
      </c>
      <c r="M487">
        <v>13369.1</v>
      </c>
      <c r="N487">
        <v>23.26</v>
      </c>
      <c r="O487">
        <v>139560</v>
      </c>
      <c r="P487">
        <v>19255.57</v>
      </c>
      <c r="Q487">
        <v>0</v>
      </c>
      <c r="R487">
        <v>0</v>
      </c>
      <c r="S487">
        <v>0.01</v>
      </c>
      <c r="T487" t="s">
        <v>25</v>
      </c>
    </row>
    <row r="488" spans="1:20" ht="15">
      <c r="A488" t="s">
        <v>19</v>
      </c>
      <c r="B488" t="s">
        <v>20</v>
      </c>
      <c r="C488" t="str">
        <f t="shared" si="7"/>
        <v>31-Dec-21</v>
      </c>
      <c r="D488" t="s">
        <v>21</v>
      </c>
      <c r="E488" t="s">
        <v>22</v>
      </c>
      <c r="F488" t="str">
        <f>"BD6QV98"</f>
        <v>BD6QV98</v>
      </c>
      <c r="G488" t="s">
        <v>515</v>
      </c>
      <c r="I488" t="s">
        <v>156</v>
      </c>
      <c r="J488">
        <v>0.137973404</v>
      </c>
      <c r="K488">
        <v>4700</v>
      </c>
      <c r="L488">
        <v>122742.78</v>
      </c>
      <c r="M488">
        <v>15504.97</v>
      </c>
      <c r="N488">
        <v>20.46</v>
      </c>
      <c r="O488">
        <v>96162</v>
      </c>
      <c r="P488">
        <v>13267.8</v>
      </c>
      <c r="Q488">
        <v>0</v>
      </c>
      <c r="R488">
        <v>0</v>
      </c>
      <c r="S488">
        <v>0.007</v>
      </c>
      <c r="T488" t="s">
        <v>25</v>
      </c>
    </row>
    <row r="489" spans="1:20" ht="15">
      <c r="A489" t="s">
        <v>19</v>
      </c>
      <c r="B489" t="s">
        <v>20</v>
      </c>
      <c r="C489" t="str">
        <f t="shared" si="7"/>
        <v>31-Dec-21</v>
      </c>
      <c r="D489" t="s">
        <v>21</v>
      </c>
      <c r="E489" t="s">
        <v>22</v>
      </c>
      <c r="F489" t="str">
        <f>"BD5CB75"</f>
        <v>BD5CB75</v>
      </c>
      <c r="G489" t="s">
        <v>516</v>
      </c>
      <c r="I489" t="s">
        <v>156</v>
      </c>
      <c r="J489">
        <v>0.137973404</v>
      </c>
      <c r="K489">
        <v>11800</v>
      </c>
      <c r="L489">
        <v>78637.01</v>
      </c>
      <c r="M489">
        <v>10001.38</v>
      </c>
      <c r="N489">
        <v>11.17</v>
      </c>
      <c r="O489">
        <v>131806</v>
      </c>
      <c r="P489">
        <v>18185.72</v>
      </c>
      <c r="Q489">
        <v>0</v>
      </c>
      <c r="R489">
        <v>0</v>
      </c>
      <c r="S489">
        <v>0.009</v>
      </c>
      <c r="T489" t="s">
        <v>25</v>
      </c>
    </row>
    <row r="490" spans="1:20" ht="15">
      <c r="A490" t="s">
        <v>19</v>
      </c>
      <c r="B490" t="s">
        <v>20</v>
      </c>
      <c r="C490" t="str">
        <f t="shared" si="7"/>
        <v>31-Dec-21</v>
      </c>
      <c r="D490" t="s">
        <v>21</v>
      </c>
      <c r="E490" t="s">
        <v>22</v>
      </c>
      <c r="F490" t="str">
        <f>"BD5CP95"</f>
        <v>BD5CP95</v>
      </c>
      <c r="G490" t="s">
        <v>517</v>
      </c>
      <c r="I490" t="s">
        <v>156</v>
      </c>
      <c r="J490">
        <v>0.137973404</v>
      </c>
      <c r="K490">
        <v>2500</v>
      </c>
      <c r="L490">
        <v>209577.74</v>
      </c>
      <c r="M490">
        <v>26802.14</v>
      </c>
      <c r="N490">
        <v>104.65</v>
      </c>
      <c r="O490">
        <v>261625</v>
      </c>
      <c r="P490">
        <v>36097.29</v>
      </c>
      <c r="Q490">
        <v>0</v>
      </c>
      <c r="R490">
        <v>0</v>
      </c>
      <c r="S490">
        <v>0.018</v>
      </c>
      <c r="T490" t="s">
        <v>25</v>
      </c>
    </row>
    <row r="491" spans="1:20" ht="15">
      <c r="A491" t="s">
        <v>19</v>
      </c>
      <c r="B491" t="s">
        <v>20</v>
      </c>
      <c r="C491" t="str">
        <f t="shared" si="7"/>
        <v>31-Dec-21</v>
      </c>
      <c r="D491" t="s">
        <v>21</v>
      </c>
      <c r="E491" t="s">
        <v>22</v>
      </c>
      <c r="F491" t="str">
        <f>"BD5CJK4"</f>
        <v>BD5CJK4</v>
      </c>
      <c r="G491" t="s">
        <v>518</v>
      </c>
      <c r="I491" t="s">
        <v>156</v>
      </c>
      <c r="J491">
        <v>0.137973404</v>
      </c>
      <c r="K491">
        <v>6400</v>
      </c>
      <c r="L491">
        <v>92408.22</v>
      </c>
      <c r="M491">
        <v>11752.86</v>
      </c>
      <c r="N491">
        <v>13.37</v>
      </c>
      <c r="O491">
        <v>85568</v>
      </c>
      <c r="P491">
        <v>11806.11</v>
      </c>
      <c r="Q491">
        <v>0</v>
      </c>
      <c r="R491">
        <v>0</v>
      </c>
      <c r="S491">
        <v>0.006</v>
      </c>
      <c r="T491" t="s">
        <v>25</v>
      </c>
    </row>
    <row r="492" spans="1:20" ht="15">
      <c r="A492" t="s">
        <v>19</v>
      </c>
      <c r="B492" t="s">
        <v>20</v>
      </c>
      <c r="C492" t="str">
        <f t="shared" si="7"/>
        <v>31-Dec-21</v>
      </c>
      <c r="D492" t="s">
        <v>21</v>
      </c>
      <c r="E492" t="s">
        <v>22</v>
      </c>
      <c r="F492" t="str">
        <f>"BFCCR30"</f>
        <v>BFCCR30</v>
      </c>
      <c r="G492" t="s">
        <v>519</v>
      </c>
      <c r="I492" t="s">
        <v>156</v>
      </c>
      <c r="J492">
        <v>0.137973404</v>
      </c>
      <c r="K492">
        <v>1900</v>
      </c>
      <c r="L492">
        <v>120270.97</v>
      </c>
      <c r="M492">
        <v>15192.73</v>
      </c>
      <c r="N492">
        <v>250.4</v>
      </c>
      <c r="O492">
        <v>475760</v>
      </c>
      <c r="P492">
        <v>65642.23</v>
      </c>
      <c r="Q492">
        <v>0</v>
      </c>
      <c r="R492">
        <v>0</v>
      </c>
      <c r="S492">
        <v>0.033</v>
      </c>
      <c r="T492" t="s">
        <v>25</v>
      </c>
    </row>
    <row r="493" spans="1:20" ht="15">
      <c r="A493" t="s">
        <v>19</v>
      </c>
      <c r="B493" t="s">
        <v>20</v>
      </c>
      <c r="C493" t="str">
        <f t="shared" si="7"/>
        <v>31-Dec-21</v>
      </c>
      <c r="D493" t="s">
        <v>21</v>
      </c>
      <c r="E493" t="s">
        <v>22</v>
      </c>
      <c r="F493" t="str">
        <f>"BD5CPY0"</f>
        <v>BD5CPY0</v>
      </c>
      <c r="G493" t="s">
        <v>520</v>
      </c>
      <c r="I493" t="s">
        <v>156</v>
      </c>
      <c r="J493">
        <v>0.137973404</v>
      </c>
      <c r="K493">
        <v>8300</v>
      </c>
      <c r="L493">
        <v>309912.58</v>
      </c>
      <c r="M493">
        <v>39481.04</v>
      </c>
      <c r="N493">
        <v>33.5</v>
      </c>
      <c r="O493">
        <v>278050</v>
      </c>
      <c r="P493">
        <v>38363.51</v>
      </c>
      <c r="Q493">
        <v>0</v>
      </c>
      <c r="R493">
        <v>0</v>
      </c>
      <c r="S493">
        <v>0.019</v>
      </c>
      <c r="T493" t="s">
        <v>25</v>
      </c>
    </row>
    <row r="494" spans="1:20" ht="15">
      <c r="A494" t="s">
        <v>19</v>
      </c>
      <c r="B494" t="s">
        <v>20</v>
      </c>
      <c r="C494" t="str">
        <f t="shared" si="7"/>
        <v>31-Dec-21</v>
      </c>
      <c r="D494" t="s">
        <v>21</v>
      </c>
      <c r="E494" t="s">
        <v>22</v>
      </c>
      <c r="F494" t="str">
        <f>"BP3R7Z6"</f>
        <v>BP3R7Z6</v>
      </c>
      <c r="G494" t="s">
        <v>521</v>
      </c>
      <c r="I494" t="s">
        <v>156</v>
      </c>
      <c r="J494">
        <v>0.137973404</v>
      </c>
      <c r="K494">
        <v>1500</v>
      </c>
      <c r="L494">
        <v>157568.78</v>
      </c>
      <c r="M494">
        <v>20182.33</v>
      </c>
      <c r="N494">
        <v>437.15</v>
      </c>
      <c r="O494">
        <v>655725</v>
      </c>
      <c r="P494">
        <v>90472.61</v>
      </c>
      <c r="Q494">
        <v>0</v>
      </c>
      <c r="R494">
        <v>0</v>
      </c>
      <c r="S494">
        <v>0.045</v>
      </c>
      <c r="T494" t="s">
        <v>25</v>
      </c>
    </row>
    <row r="495" spans="1:20" ht="15">
      <c r="A495" t="s">
        <v>19</v>
      </c>
      <c r="B495" t="s">
        <v>20</v>
      </c>
      <c r="C495" t="str">
        <f t="shared" si="7"/>
        <v>31-Dec-21</v>
      </c>
      <c r="D495" t="s">
        <v>21</v>
      </c>
      <c r="E495" t="s">
        <v>22</v>
      </c>
      <c r="F495" t="str">
        <f>"BD5CFS4"</f>
        <v>BD5CFS4</v>
      </c>
      <c r="G495" t="s">
        <v>522</v>
      </c>
      <c r="I495" t="s">
        <v>156</v>
      </c>
      <c r="J495">
        <v>0.137973404</v>
      </c>
      <c r="K495">
        <v>24200</v>
      </c>
      <c r="L495">
        <v>118913.7</v>
      </c>
      <c r="M495">
        <v>15157.43</v>
      </c>
      <c r="N495">
        <v>7.12</v>
      </c>
      <c r="O495">
        <v>172304</v>
      </c>
      <c r="P495">
        <v>23773.37</v>
      </c>
      <c r="Q495">
        <v>0</v>
      </c>
      <c r="R495">
        <v>0</v>
      </c>
      <c r="S495">
        <v>0.012</v>
      </c>
      <c r="T495" t="s">
        <v>25</v>
      </c>
    </row>
    <row r="496" spans="1:20" ht="15">
      <c r="A496" t="s">
        <v>19</v>
      </c>
      <c r="B496" t="s">
        <v>20</v>
      </c>
      <c r="C496" t="str">
        <f t="shared" si="7"/>
        <v>31-Dec-21</v>
      </c>
      <c r="D496" t="s">
        <v>21</v>
      </c>
      <c r="E496" t="s">
        <v>22</v>
      </c>
      <c r="F496" t="str">
        <f>"BD5CG58"</f>
        <v>BD5CG58</v>
      </c>
      <c r="G496" t="s">
        <v>523</v>
      </c>
      <c r="I496" t="s">
        <v>156</v>
      </c>
      <c r="J496">
        <v>0.137973404</v>
      </c>
      <c r="K496">
        <v>25800</v>
      </c>
      <c r="L496">
        <v>292923.05</v>
      </c>
      <c r="M496">
        <v>35701.44</v>
      </c>
      <c r="N496">
        <v>8.39</v>
      </c>
      <c r="O496">
        <v>216462</v>
      </c>
      <c r="P496">
        <v>29866</v>
      </c>
      <c r="Q496">
        <v>0</v>
      </c>
      <c r="R496">
        <v>0</v>
      </c>
      <c r="S496">
        <v>0.015</v>
      </c>
      <c r="T496" t="s">
        <v>25</v>
      </c>
    </row>
    <row r="497" spans="1:20" ht="15">
      <c r="A497" t="s">
        <v>19</v>
      </c>
      <c r="B497" t="s">
        <v>20</v>
      </c>
      <c r="C497" t="str">
        <f t="shared" si="7"/>
        <v>31-Dec-21</v>
      </c>
      <c r="D497" t="s">
        <v>21</v>
      </c>
      <c r="E497" t="s">
        <v>22</v>
      </c>
      <c r="F497" t="str">
        <f>"BP3R789"</f>
        <v>BP3R789</v>
      </c>
      <c r="G497" t="s">
        <v>524</v>
      </c>
      <c r="I497" t="s">
        <v>156</v>
      </c>
      <c r="J497">
        <v>0.137973404</v>
      </c>
      <c r="K497">
        <v>18600</v>
      </c>
      <c r="L497">
        <v>94917.74</v>
      </c>
      <c r="M497">
        <v>12219.12</v>
      </c>
      <c r="N497">
        <v>4.85</v>
      </c>
      <c r="O497">
        <v>90210</v>
      </c>
      <c r="P497">
        <v>12446.58</v>
      </c>
      <c r="Q497">
        <v>0</v>
      </c>
      <c r="R497">
        <v>0</v>
      </c>
      <c r="S497">
        <v>0.006</v>
      </c>
      <c r="T497" t="s">
        <v>25</v>
      </c>
    </row>
    <row r="498" spans="1:20" ht="15">
      <c r="A498" t="s">
        <v>19</v>
      </c>
      <c r="B498" t="s">
        <v>20</v>
      </c>
      <c r="C498" t="str">
        <f t="shared" si="7"/>
        <v>31-Dec-21</v>
      </c>
      <c r="D498" t="s">
        <v>21</v>
      </c>
      <c r="E498" t="s">
        <v>22</v>
      </c>
      <c r="F498" t="str">
        <f>"BP3R5K7"</f>
        <v>BP3R5K7</v>
      </c>
      <c r="G498" t="s">
        <v>525</v>
      </c>
      <c r="I498" t="s">
        <v>156</v>
      </c>
      <c r="J498">
        <v>0.137973404</v>
      </c>
      <c r="K498">
        <v>3200</v>
      </c>
      <c r="L498">
        <v>81174.18</v>
      </c>
      <c r="M498">
        <v>10253.99</v>
      </c>
      <c r="N498">
        <v>53.89</v>
      </c>
      <c r="O498">
        <v>172448</v>
      </c>
      <c r="P498">
        <v>23793.24</v>
      </c>
      <c r="Q498">
        <v>0</v>
      </c>
      <c r="R498">
        <v>0</v>
      </c>
      <c r="S498">
        <v>0.012</v>
      </c>
      <c r="T498" t="s">
        <v>25</v>
      </c>
    </row>
    <row r="499" spans="1:20" ht="15">
      <c r="A499" t="s">
        <v>19</v>
      </c>
      <c r="B499" t="s">
        <v>20</v>
      </c>
      <c r="C499" t="str">
        <f t="shared" si="7"/>
        <v>31-Dec-21</v>
      </c>
      <c r="D499" t="s">
        <v>21</v>
      </c>
      <c r="E499" t="s">
        <v>22</v>
      </c>
      <c r="F499" t="str">
        <f>"BD5CNJ1"</f>
        <v>BD5CNJ1</v>
      </c>
      <c r="G499" t="s">
        <v>526</v>
      </c>
      <c r="I499" t="s">
        <v>156</v>
      </c>
      <c r="J499">
        <v>0.137973404</v>
      </c>
      <c r="K499">
        <v>4500</v>
      </c>
      <c r="L499">
        <v>81487.11</v>
      </c>
      <c r="M499">
        <v>10437.35</v>
      </c>
      <c r="N499">
        <v>23.48</v>
      </c>
      <c r="O499">
        <v>105660</v>
      </c>
      <c r="P499">
        <v>14578.27</v>
      </c>
      <c r="Q499">
        <v>0</v>
      </c>
      <c r="R499">
        <v>0</v>
      </c>
      <c r="S499">
        <v>0.007</v>
      </c>
      <c r="T499" t="s">
        <v>25</v>
      </c>
    </row>
    <row r="500" spans="1:20" ht="15">
      <c r="A500" t="s">
        <v>19</v>
      </c>
      <c r="B500" t="s">
        <v>20</v>
      </c>
      <c r="C500" t="str">
        <f t="shared" si="7"/>
        <v>31-Dec-21</v>
      </c>
      <c r="D500" t="s">
        <v>21</v>
      </c>
      <c r="E500" t="s">
        <v>22</v>
      </c>
      <c r="F500" t="str">
        <f>"BYZW440"</f>
        <v>BYZW440</v>
      </c>
      <c r="G500" t="s">
        <v>527</v>
      </c>
      <c r="I500" t="s">
        <v>156</v>
      </c>
      <c r="J500">
        <v>0.137973404</v>
      </c>
      <c r="K500">
        <v>1700</v>
      </c>
      <c r="L500">
        <v>157039.53</v>
      </c>
      <c r="M500">
        <v>20017.17</v>
      </c>
      <c r="N500">
        <v>80.26</v>
      </c>
      <c r="O500">
        <v>136442</v>
      </c>
      <c r="P500">
        <v>18825.37</v>
      </c>
      <c r="Q500">
        <v>0</v>
      </c>
      <c r="R500">
        <v>0</v>
      </c>
      <c r="S500">
        <v>0.009</v>
      </c>
      <c r="T500" t="s">
        <v>25</v>
      </c>
    </row>
    <row r="501" spans="1:20" ht="15">
      <c r="A501" t="s">
        <v>19</v>
      </c>
      <c r="B501" t="s">
        <v>20</v>
      </c>
      <c r="C501" t="str">
        <f t="shared" si="7"/>
        <v>31-Dec-21</v>
      </c>
      <c r="D501" t="s">
        <v>21</v>
      </c>
      <c r="E501" t="s">
        <v>22</v>
      </c>
      <c r="F501" t="str">
        <f>"BFF5BV2"</f>
        <v>BFF5BV2</v>
      </c>
      <c r="G501" t="s">
        <v>528</v>
      </c>
      <c r="I501" t="s">
        <v>156</v>
      </c>
      <c r="J501">
        <v>0.137973404</v>
      </c>
      <c r="K501">
        <v>2900</v>
      </c>
      <c r="L501">
        <v>135450.49</v>
      </c>
      <c r="M501">
        <v>17644.43</v>
      </c>
      <c r="N501">
        <v>110.31</v>
      </c>
      <c r="O501">
        <v>319899</v>
      </c>
      <c r="P501">
        <v>44137.55</v>
      </c>
      <c r="Q501">
        <v>0</v>
      </c>
      <c r="R501">
        <v>0</v>
      </c>
      <c r="S501">
        <v>0.022</v>
      </c>
      <c r="T501" t="s">
        <v>25</v>
      </c>
    </row>
    <row r="502" spans="1:20" ht="15">
      <c r="A502" t="s">
        <v>19</v>
      </c>
      <c r="B502" t="s">
        <v>20</v>
      </c>
      <c r="C502" t="str">
        <f t="shared" si="7"/>
        <v>31-Dec-21</v>
      </c>
      <c r="D502" t="s">
        <v>21</v>
      </c>
      <c r="E502" t="s">
        <v>22</v>
      </c>
      <c r="F502" t="str">
        <f>"BD5M1Y2"</f>
        <v>BD5M1Y2</v>
      </c>
      <c r="G502" t="s">
        <v>529</v>
      </c>
      <c r="I502" t="s">
        <v>156</v>
      </c>
      <c r="J502">
        <v>0.137973404</v>
      </c>
      <c r="K502">
        <v>4500</v>
      </c>
      <c r="L502">
        <v>145285.44</v>
      </c>
      <c r="M502">
        <v>18124.84</v>
      </c>
      <c r="N502">
        <v>69.5</v>
      </c>
      <c r="O502">
        <v>312750</v>
      </c>
      <c r="P502">
        <v>43151.18</v>
      </c>
      <c r="Q502">
        <v>0</v>
      </c>
      <c r="R502">
        <v>0</v>
      </c>
      <c r="S502">
        <v>0.021</v>
      </c>
      <c r="T502" t="s">
        <v>25</v>
      </c>
    </row>
    <row r="503" spans="1:20" ht="15">
      <c r="A503" t="s">
        <v>19</v>
      </c>
      <c r="B503" t="s">
        <v>20</v>
      </c>
      <c r="C503" t="str">
        <f t="shared" si="7"/>
        <v>31-Dec-21</v>
      </c>
      <c r="D503" t="s">
        <v>21</v>
      </c>
      <c r="E503" t="s">
        <v>22</v>
      </c>
      <c r="F503" t="str">
        <f>"BP3R983"</f>
        <v>BP3R983</v>
      </c>
      <c r="G503" t="s">
        <v>530</v>
      </c>
      <c r="I503" t="s">
        <v>156</v>
      </c>
      <c r="J503">
        <v>0.137973404</v>
      </c>
      <c r="K503">
        <v>10200</v>
      </c>
      <c r="L503">
        <v>80424.93</v>
      </c>
      <c r="M503">
        <v>10228.78</v>
      </c>
      <c r="N503">
        <v>12.91</v>
      </c>
      <c r="O503">
        <v>131682</v>
      </c>
      <c r="P503">
        <v>18168.61</v>
      </c>
      <c r="Q503">
        <v>0</v>
      </c>
      <c r="R503">
        <v>0</v>
      </c>
      <c r="S503">
        <v>0.009</v>
      </c>
      <c r="T503" t="s">
        <v>25</v>
      </c>
    </row>
    <row r="504" spans="1:20" ht="15">
      <c r="A504" t="s">
        <v>19</v>
      </c>
      <c r="B504" t="s">
        <v>20</v>
      </c>
      <c r="C504" t="str">
        <f t="shared" si="7"/>
        <v>31-Dec-21</v>
      </c>
      <c r="D504" t="s">
        <v>21</v>
      </c>
      <c r="E504" t="s">
        <v>22</v>
      </c>
      <c r="F504" t="str">
        <f>"BP3R4W2"</f>
        <v>BP3R4W2</v>
      </c>
      <c r="G504" t="s">
        <v>531</v>
      </c>
      <c r="I504" t="s">
        <v>156</v>
      </c>
      <c r="J504">
        <v>0.137973404</v>
      </c>
      <c r="K504">
        <v>3200</v>
      </c>
      <c r="L504">
        <v>45613.96</v>
      </c>
      <c r="M504">
        <v>5851.73</v>
      </c>
      <c r="N504">
        <v>12.63</v>
      </c>
      <c r="O504">
        <v>40416</v>
      </c>
      <c r="P504">
        <v>5576.33</v>
      </c>
      <c r="Q504">
        <v>0</v>
      </c>
      <c r="R504">
        <v>0</v>
      </c>
      <c r="S504">
        <v>0.003</v>
      </c>
      <c r="T504" t="s">
        <v>25</v>
      </c>
    </row>
    <row r="505" spans="1:20" ht="15">
      <c r="A505" t="s">
        <v>19</v>
      </c>
      <c r="B505" t="s">
        <v>20</v>
      </c>
      <c r="C505" t="str">
        <f t="shared" si="7"/>
        <v>31-Dec-21</v>
      </c>
      <c r="D505" t="s">
        <v>21</v>
      </c>
      <c r="E505" t="s">
        <v>22</v>
      </c>
      <c r="F505" t="str">
        <f>"BD5CH66"</f>
        <v>BD5CH66</v>
      </c>
      <c r="G505" t="s">
        <v>532</v>
      </c>
      <c r="I505" t="s">
        <v>156</v>
      </c>
      <c r="J505">
        <v>0.137973404</v>
      </c>
      <c r="K505">
        <v>6000</v>
      </c>
      <c r="L505">
        <v>102610.9</v>
      </c>
      <c r="M505">
        <v>13031.4</v>
      </c>
      <c r="N505">
        <v>31.12</v>
      </c>
      <c r="O505">
        <v>186720</v>
      </c>
      <c r="P505">
        <v>25762.39</v>
      </c>
      <c r="Q505">
        <v>0</v>
      </c>
      <c r="R505">
        <v>0</v>
      </c>
      <c r="S505">
        <v>0.013</v>
      </c>
      <c r="T505" t="s">
        <v>25</v>
      </c>
    </row>
    <row r="506" spans="1:20" ht="15">
      <c r="A506" t="s">
        <v>19</v>
      </c>
      <c r="B506" t="s">
        <v>20</v>
      </c>
      <c r="C506" t="str">
        <f t="shared" si="7"/>
        <v>31-Dec-21</v>
      </c>
      <c r="D506" t="s">
        <v>21</v>
      </c>
      <c r="E506" t="s">
        <v>22</v>
      </c>
      <c r="F506" t="str">
        <f>"BD5CDC4"</f>
        <v>BD5CDC4</v>
      </c>
      <c r="G506" t="s">
        <v>533</v>
      </c>
      <c r="I506" t="s">
        <v>156</v>
      </c>
      <c r="J506">
        <v>0.137973404</v>
      </c>
      <c r="K506">
        <v>8970</v>
      </c>
      <c r="L506">
        <v>149530.36</v>
      </c>
      <c r="M506">
        <v>19021.03</v>
      </c>
      <c r="N506">
        <v>25.3</v>
      </c>
      <c r="O506">
        <v>226941</v>
      </c>
      <c r="P506">
        <v>31311.82</v>
      </c>
      <c r="Q506">
        <v>0</v>
      </c>
      <c r="R506">
        <v>0</v>
      </c>
      <c r="S506">
        <v>0.016</v>
      </c>
      <c r="T506" t="s">
        <v>25</v>
      </c>
    </row>
    <row r="507" spans="1:20" ht="15">
      <c r="A507" t="s">
        <v>19</v>
      </c>
      <c r="B507" t="s">
        <v>20</v>
      </c>
      <c r="C507" t="str">
        <f t="shared" si="7"/>
        <v>31-Dec-21</v>
      </c>
      <c r="D507" t="s">
        <v>21</v>
      </c>
      <c r="E507" t="s">
        <v>22</v>
      </c>
      <c r="F507" t="str">
        <f>"BD5M227"</f>
        <v>BD5M227</v>
      </c>
      <c r="G507" t="s">
        <v>534</v>
      </c>
      <c r="I507" t="s">
        <v>156</v>
      </c>
      <c r="J507">
        <v>0.137973404</v>
      </c>
      <c r="K507">
        <v>1000</v>
      </c>
      <c r="L507">
        <v>78158.75</v>
      </c>
      <c r="M507">
        <v>10118.6</v>
      </c>
      <c r="N507">
        <v>62.24</v>
      </c>
      <c r="O507">
        <v>62240</v>
      </c>
      <c r="P507">
        <v>8587.46</v>
      </c>
      <c r="Q507">
        <v>0</v>
      </c>
      <c r="R507">
        <v>0</v>
      </c>
      <c r="S507">
        <v>0.004</v>
      </c>
      <c r="T507" t="s">
        <v>25</v>
      </c>
    </row>
    <row r="508" spans="1:20" ht="15">
      <c r="A508" t="s">
        <v>19</v>
      </c>
      <c r="B508" t="s">
        <v>20</v>
      </c>
      <c r="C508" t="str">
        <f t="shared" si="7"/>
        <v>31-Dec-21</v>
      </c>
      <c r="D508" t="s">
        <v>21</v>
      </c>
      <c r="E508" t="s">
        <v>22</v>
      </c>
      <c r="F508" t="str">
        <f>"BD5LYB7"</f>
        <v>BD5LYB7</v>
      </c>
      <c r="G508" t="s">
        <v>535</v>
      </c>
      <c r="I508" t="s">
        <v>156</v>
      </c>
      <c r="J508">
        <v>0.137973404</v>
      </c>
      <c r="K508">
        <v>6800</v>
      </c>
      <c r="L508">
        <v>130775.55</v>
      </c>
      <c r="M508">
        <v>16669.41</v>
      </c>
      <c r="N508">
        <v>24.32</v>
      </c>
      <c r="O508">
        <v>165376</v>
      </c>
      <c r="P508">
        <v>22817.49</v>
      </c>
      <c r="Q508">
        <v>0</v>
      </c>
      <c r="R508">
        <v>0</v>
      </c>
      <c r="S508">
        <v>0.011</v>
      </c>
      <c r="T508" t="s">
        <v>25</v>
      </c>
    </row>
    <row r="509" spans="1:20" ht="15">
      <c r="A509" t="s">
        <v>19</v>
      </c>
      <c r="B509" t="s">
        <v>20</v>
      </c>
      <c r="C509" t="str">
        <f t="shared" si="7"/>
        <v>31-Dec-21</v>
      </c>
      <c r="D509" t="s">
        <v>21</v>
      </c>
      <c r="E509" t="s">
        <v>22</v>
      </c>
      <c r="F509" t="str">
        <f>"BFY8GY0"</f>
        <v>BFY8GY0</v>
      </c>
      <c r="G509" t="s">
        <v>536</v>
      </c>
      <c r="I509" t="s">
        <v>156</v>
      </c>
      <c r="J509">
        <v>0.137973404</v>
      </c>
      <c r="K509">
        <v>2300</v>
      </c>
      <c r="L509">
        <v>144481.9</v>
      </c>
      <c r="M509">
        <v>18416.5</v>
      </c>
      <c r="N509">
        <v>57.3</v>
      </c>
      <c r="O509">
        <v>131790</v>
      </c>
      <c r="P509">
        <v>18183.51</v>
      </c>
      <c r="Q509">
        <v>0</v>
      </c>
      <c r="R509">
        <v>0</v>
      </c>
      <c r="S509">
        <v>0.009</v>
      </c>
      <c r="T509" t="s">
        <v>25</v>
      </c>
    </row>
    <row r="510" spans="1:20" ht="15">
      <c r="A510" t="s">
        <v>19</v>
      </c>
      <c r="B510" t="s">
        <v>20</v>
      </c>
      <c r="C510" t="str">
        <f t="shared" si="7"/>
        <v>31-Dec-21</v>
      </c>
      <c r="D510" t="s">
        <v>21</v>
      </c>
      <c r="E510" t="s">
        <v>22</v>
      </c>
      <c r="F510" t="str">
        <f>"BMXTWL2"</f>
        <v>BMXTWL2</v>
      </c>
      <c r="G510" t="s">
        <v>537</v>
      </c>
      <c r="I510" t="s">
        <v>156</v>
      </c>
      <c r="J510">
        <v>0.137973404</v>
      </c>
      <c r="K510">
        <v>8500</v>
      </c>
      <c r="L510">
        <v>113884.28</v>
      </c>
      <c r="M510">
        <v>14660.75</v>
      </c>
      <c r="N510">
        <v>9.97</v>
      </c>
      <c r="O510">
        <v>84745</v>
      </c>
      <c r="P510">
        <v>11692.56</v>
      </c>
      <c r="Q510">
        <v>0</v>
      </c>
      <c r="R510">
        <v>0</v>
      </c>
      <c r="S510">
        <v>0.006</v>
      </c>
      <c r="T510" t="s">
        <v>25</v>
      </c>
    </row>
    <row r="511" spans="1:20" ht="15">
      <c r="A511" t="s">
        <v>19</v>
      </c>
      <c r="B511" t="s">
        <v>20</v>
      </c>
      <c r="C511" t="str">
        <f t="shared" si="7"/>
        <v>31-Dec-21</v>
      </c>
      <c r="D511" t="s">
        <v>21</v>
      </c>
      <c r="E511" t="s">
        <v>22</v>
      </c>
      <c r="F511" t="str">
        <f>"BP3RFL8"</f>
        <v>BP3RFL8</v>
      </c>
      <c r="G511" t="s">
        <v>538</v>
      </c>
      <c r="I511" t="s">
        <v>156</v>
      </c>
      <c r="J511">
        <v>0.137973404</v>
      </c>
      <c r="K511">
        <v>6700</v>
      </c>
      <c r="L511">
        <v>86616.69</v>
      </c>
      <c r="M511">
        <v>11150.49</v>
      </c>
      <c r="N511">
        <v>17.1</v>
      </c>
      <c r="O511">
        <v>114570</v>
      </c>
      <c r="P511">
        <v>15807.61</v>
      </c>
      <c r="Q511">
        <v>0</v>
      </c>
      <c r="R511">
        <v>0</v>
      </c>
      <c r="S511">
        <v>0.008</v>
      </c>
      <c r="T511" t="s">
        <v>25</v>
      </c>
    </row>
    <row r="512" spans="1:20" ht="15">
      <c r="A512" t="s">
        <v>19</v>
      </c>
      <c r="B512" t="s">
        <v>20</v>
      </c>
      <c r="C512" t="str">
        <f t="shared" si="7"/>
        <v>31-Dec-21</v>
      </c>
      <c r="D512" t="s">
        <v>21</v>
      </c>
      <c r="E512" t="s">
        <v>22</v>
      </c>
      <c r="F512" t="str">
        <f>"BP3R400"</f>
        <v>BP3R400</v>
      </c>
      <c r="G512" t="s">
        <v>539</v>
      </c>
      <c r="I512" t="s">
        <v>156</v>
      </c>
      <c r="J512">
        <v>0.137973404</v>
      </c>
      <c r="K512">
        <v>50700</v>
      </c>
      <c r="L512">
        <v>177557.95</v>
      </c>
      <c r="M512">
        <v>22742.66</v>
      </c>
      <c r="N512">
        <v>9.7</v>
      </c>
      <c r="O512">
        <v>491790</v>
      </c>
      <c r="P512">
        <v>67853.94</v>
      </c>
      <c r="Q512">
        <v>0</v>
      </c>
      <c r="R512">
        <v>0</v>
      </c>
      <c r="S512">
        <v>0.034</v>
      </c>
      <c r="T512" t="s">
        <v>25</v>
      </c>
    </row>
    <row r="513" spans="1:20" ht="15">
      <c r="A513" t="s">
        <v>19</v>
      </c>
      <c r="B513" t="s">
        <v>20</v>
      </c>
      <c r="C513" t="str">
        <f t="shared" si="7"/>
        <v>31-Dec-21</v>
      </c>
      <c r="D513" t="s">
        <v>21</v>
      </c>
      <c r="E513" t="s">
        <v>22</v>
      </c>
      <c r="F513" t="str">
        <f>"BD5CPZ1"</f>
        <v>BD5CPZ1</v>
      </c>
      <c r="G513" t="s">
        <v>540</v>
      </c>
      <c r="I513" t="s">
        <v>156</v>
      </c>
      <c r="J513">
        <v>0.137973404</v>
      </c>
      <c r="K513">
        <v>26200</v>
      </c>
      <c r="L513">
        <v>172253.28</v>
      </c>
      <c r="M513">
        <v>22118.75</v>
      </c>
      <c r="N513">
        <v>7.17</v>
      </c>
      <c r="O513">
        <v>187854</v>
      </c>
      <c r="P513">
        <v>25918.86</v>
      </c>
      <c r="Q513">
        <v>0</v>
      </c>
      <c r="R513">
        <v>0</v>
      </c>
      <c r="S513">
        <v>0.013</v>
      </c>
      <c r="T513" t="s">
        <v>25</v>
      </c>
    </row>
    <row r="514" spans="1:20" ht="15">
      <c r="A514" t="s">
        <v>19</v>
      </c>
      <c r="B514" t="s">
        <v>20</v>
      </c>
      <c r="C514" t="str">
        <f aca="true" t="shared" si="8" ref="C514:C577">"31-Dec-21"</f>
        <v>31-Dec-21</v>
      </c>
      <c r="D514" t="s">
        <v>21</v>
      </c>
      <c r="E514" t="s">
        <v>39</v>
      </c>
      <c r="I514" t="s">
        <v>156</v>
      </c>
      <c r="J514">
        <v>0.137973404</v>
      </c>
      <c r="K514">
        <v>0</v>
      </c>
      <c r="L514">
        <v>-26699.62</v>
      </c>
      <c r="M514">
        <v>-3715.1</v>
      </c>
      <c r="N514">
        <v>0</v>
      </c>
      <c r="O514">
        <v>-26699.62</v>
      </c>
      <c r="P514">
        <v>-3683.84</v>
      </c>
      <c r="Q514">
        <v>0</v>
      </c>
      <c r="R514">
        <v>0</v>
      </c>
      <c r="S514">
        <v>-0.002</v>
      </c>
      <c r="T514" t="s">
        <v>541</v>
      </c>
    </row>
    <row r="515" spans="1:20" ht="15">
      <c r="A515" t="s">
        <v>19</v>
      </c>
      <c r="B515" t="s">
        <v>20</v>
      </c>
      <c r="C515" t="str">
        <f t="shared" si="8"/>
        <v>31-Dec-21</v>
      </c>
      <c r="D515" t="s">
        <v>21</v>
      </c>
      <c r="E515" t="s">
        <v>22</v>
      </c>
      <c r="F515" t="str">
        <f>"BJ62K57"</f>
        <v>BJ62K57</v>
      </c>
      <c r="G515" t="s">
        <v>542</v>
      </c>
      <c r="I515" t="s">
        <v>543</v>
      </c>
      <c r="J515">
        <v>0.000216057</v>
      </c>
      <c r="K515">
        <v>9183</v>
      </c>
      <c r="L515">
        <v>319374974.9</v>
      </c>
      <c r="M515">
        <v>89985.18</v>
      </c>
      <c r="N515">
        <v>34700</v>
      </c>
      <c r="O515">
        <v>318650100</v>
      </c>
      <c r="P515">
        <v>68846.65</v>
      </c>
      <c r="Q515">
        <v>596895</v>
      </c>
      <c r="R515">
        <v>128.96</v>
      </c>
      <c r="S515">
        <v>0.034</v>
      </c>
      <c r="T515" t="s">
        <v>25</v>
      </c>
    </row>
    <row r="516" spans="1:20" ht="15">
      <c r="A516" t="s">
        <v>19</v>
      </c>
      <c r="B516" t="s">
        <v>20</v>
      </c>
      <c r="C516" t="str">
        <f t="shared" si="8"/>
        <v>31-Dec-21</v>
      </c>
      <c r="D516" t="s">
        <v>21</v>
      </c>
      <c r="E516" t="s">
        <v>22</v>
      </c>
      <c r="F516" t="str">
        <f>"BJ62LW1"</f>
        <v>BJ62LW1</v>
      </c>
      <c r="G516" t="s">
        <v>544</v>
      </c>
      <c r="I516" t="s">
        <v>543</v>
      </c>
      <c r="J516">
        <v>0.000216057</v>
      </c>
      <c r="K516">
        <v>14936</v>
      </c>
      <c r="L516">
        <v>450423650.53</v>
      </c>
      <c r="M516">
        <v>144522.62</v>
      </c>
      <c r="N516">
        <v>32000</v>
      </c>
      <c r="O516">
        <v>477952000</v>
      </c>
      <c r="P516">
        <v>103264.97</v>
      </c>
      <c r="Q516">
        <v>970840</v>
      </c>
      <c r="R516">
        <v>209.76</v>
      </c>
      <c r="S516">
        <v>0.051</v>
      </c>
      <c r="T516" t="s">
        <v>25</v>
      </c>
    </row>
    <row r="517" spans="1:20" ht="15">
      <c r="A517" t="s">
        <v>19</v>
      </c>
      <c r="B517" t="s">
        <v>20</v>
      </c>
      <c r="C517" t="str">
        <f t="shared" si="8"/>
        <v>31-Dec-21</v>
      </c>
      <c r="D517" t="s">
        <v>21</v>
      </c>
      <c r="E517" t="s">
        <v>22</v>
      </c>
      <c r="F517" t="str">
        <f>"B89Z692"</f>
        <v>B89Z692</v>
      </c>
      <c r="G517" t="s">
        <v>545</v>
      </c>
      <c r="I517" t="s">
        <v>543</v>
      </c>
      <c r="J517">
        <v>0.000216057</v>
      </c>
      <c r="K517">
        <v>24279</v>
      </c>
      <c r="L517">
        <v>112944528.46</v>
      </c>
      <c r="M517">
        <v>25573.39</v>
      </c>
      <c r="N517">
        <v>6110</v>
      </c>
      <c r="O517">
        <v>148344690</v>
      </c>
      <c r="P517">
        <v>32050.94</v>
      </c>
      <c r="Q517">
        <v>0</v>
      </c>
      <c r="R517">
        <v>0</v>
      </c>
      <c r="S517">
        <v>0.016</v>
      </c>
      <c r="T517" t="s">
        <v>25</v>
      </c>
    </row>
    <row r="518" spans="1:20" ht="15">
      <c r="A518" t="s">
        <v>19</v>
      </c>
      <c r="B518" t="s">
        <v>20</v>
      </c>
      <c r="C518" t="str">
        <f t="shared" si="8"/>
        <v>31-Dec-21</v>
      </c>
      <c r="D518" t="s">
        <v>21</v>
      </c>
      <c r="E518" t="s">
        <v>22</v>
      </c>
      <c r="F518" t="str">
        <f>"B2473N4"</f>
        <v>B2473N4</v>
      </c>
      <c r="G518" t="s">
        <v>546</v>
      </c>
      <c r="I518" t="s">
        <v>543</v>
      </c>
      <c r="J518">
        <v>0.000216057</v>
      </c>
      <c r="K518">
        <v>160542</v>
      </c>
      <c r="L518">
        <v>562995356.66</v>
      </c>
      <c r="M518">
        <v>191367.33</v>
      </c>
      <c r="N518">
        <v>2690</v>
      </c>
      <c r="O518">
        <v>431857980</v>
      </c>
      <c r="P518">
        <v>93306.03</v>
      </c>
      <c r="Q518">
        <v>0</v>
      </c>
      <c r="R518">
        <v>0</v>
      </c>
      <c r="S518">
        <v>0.046</v>
      </c>
      <c r="T518" t="s">
        <v>25</v>
      </c>
    </row>
    <row r="519" spans="1:20" ht="15">
      <c r="A519" t="s">
        <v>19</v>
      </c>
      <c r="B519" t="s">
        <v>20</v>
      </c>
      <c r="C519" t="str">
        <f t="shared" si="8"/>
        <v>31-Dec-21</v>
      </c>
      <c r="D519" t="s">
        <v>21</v>
      </c>
      <c r="E519" t="s">
        <v>22</v>
      </c>
      <c r="F519" t="str">
        <f>"B8SGSP6"</f>
        <v>B8SGSP6</v>
      </c>
      <c r="G519" t="s">
        <v>547</v>
      </c>
      <c r="I519" t="s">
        <v>543</v>
      </c>
      <c r="J519">
        <v>0.000216057</v>
      </c>
      <c r="K519">
        <v>6048</v>
      </c>
      <c r="L519">
        <v>107640973.44</v>
      </c>
      <c r="M519">
        <v>28498.54</v>
      </c>
      <c r="N519">
        <v>13550</v>
      </c>
      <c r="O519">
        <v>81950400</v>
      </c>
      <c r="P519">
        <v>17705.97</v>
      </c>
      <c r="Q519">
        <v>0</v>
      </c>
      <c r="R519">
        <v>0</v>
      </c>
      <c r="S519">
        <v>0.009</v>
      </c>
      <c r="T519" t="s">
        <v>25</v>
      </c>
    </row>
    <row r="520" spans="1:20" ht="15">
      <c r="A520" t="s">
        <v>19</v>
      </c>
      <c r="B520" t="s">
        <v>20</v>
      </c>
      <c r="C520" t="str">
        <f t="shared" si="8"/>
        <v>31-Dec-21</v>
      </c>
      <c r="D520" t="s">
        <v>21</v>
      </c>
      <c r="E520" t="s">
        <v>22</v>
      </c>
      <c r="F520" t="str">
        <f>"B66Y3W0"</f>
        <v>B66Y3W0</v>
      </c>
      <c r="G520" t="s">
        <v>548</v>
      </c>
      <c r="I520" t="s">
        <v>543</v>
      </c>
      <c r="J520">
        <v>0.000216057</v>
      </c>
      <c r="K520">
        <v>184781</v>
      </c>
      <c r="L520">
        <v>231549823.48</v>
      </c>
      <c r="M520">
        <v>77546.76</v>
      </c>
      <c r="N520">
        <v>1059</v>
      </c>
      <c r="O520">
        <v>195683079</v>
      </c>
      <c r="P520">
        <v>42278.74</v>
      </c>
      <c r="Q520">
        <v>831514.5</v>
      </c>
      <c r="R520">
        <v>179.65</v>
      </c>
      <c r="S520">
        <v>0.021</v>
      </c>
      <c r="T520" t="s">
        <v>25</v>
      </c>
    </row>
    <row r="521" spans="1:20" ht="15">
      <c r="A521" t="s">
        <v>19</v>
      </c>
      <c r="B521" t="s">
        <v>20</v>
      </c>
      <c r="C521" t="str">
        <f t="shared" si="8"/>
        <v>31-Dec-21</v>
      </c>
      <c r="D521" t="s">
        <v>21</v>
      </c>
      <c r="E521" t="s">
        <v>22</v>
      </c>
      <c r="F521" t="str">
        <f>"BMSK715"</f>
        <v>BMSK715</v>
      </c>
      <c r="G521" t="s">
        <v>549</v>
      </c>
      <c r="I521" t="s">
        <v>543</v>
      </c>
      <c r="J521">
        <v>0.000216057</v>
      </c>
      <c r="K521">
        <v>7939</v>
      </c>
      <c r="L521">
        <v>282522743.55</v>
      </c>
      <c r="M521">
        <v>95927.9</v>
      </c>
      <c r="N521">
        <v>30000</v>
      </c>
      <c r="O521">
        <v>238170000</v>
      </c>
      <c r="P521">
        <v>51458.34</v>
      </c>
      <c r="Q521">
        <v>1197598.15</v>
      </c>
      <c r="R521">
        <v>258.75</v>
      </c>
      <c r="S521">
        <v>0.026</v>
      </c>
      <c r="T521" t="s">
        <v>25</v>
      </c>
    </row>
    <row r="522" spans="1:20" ht="15">
      <c r="A522" t="s">
        <v>19</v>
      </c>
      <c r="B522" t="s">
        <v>20</v>
      </c>
      <c r="C522" t="str">
        <f t="shared" si="8"/>
        <v>31-Dec-21</v>
      </c>
      <c r="D522" t="s">
        <v>21</v>
      </c>
      <c r="E522" t="s">
        <v>22</v>
      </c>
      <c r="F522" t="str">
        <f>"2205706"</f>
        <v>2205706</v>
      </c>
      <c r="G522" t="s">
        <v>550</v>
      </c>
      <c r="I522" t="s">
        <v>543</v>
      </c>
      <c r="J522">
        <v>0.000216057</v>
      </c>
      <c r="K522">
        <v>14558</v>
      </c>
      <c r="L522">
        <v>178385401.17</v>
      </c>
      <c r="M522">
        <v>55204.63</v>
      </c>
      <c r="N522">
        <v>22400</v>
      </c>
      <c r="O522">
        <v>326099200</v>
      </c>
      <c r="P522">
        <v>70456.08</v>
      </c>
      <c r="Q522">
        <v>0</v>
      </c>
      <c r="R522">
        <v>0</v>
      </c>
      <c r="S522">
        <v>0.035</v>
      </c>
      <c r="T522" t="s">
        <v>25</v>
      </c>
    </row>
    <row r="523" spans="1:20" ht="15">
      <c r="A523" t="s">
        <v>19</v>
      </c>
      <c r="B523" t="s">
        <v>20</v>
      </c>
      <c r="C523" t="str">
        <f t="shared" si="8"/>
        <v>31-Dec-21</v>
      </c>
      <c r="D523" t="s">
        <v>21</v>
      </c>
      <c r="E523" t="s">
        <v>39</v>
      </c>
      <c r="I523" t="s">
        <v>543</v>
      </c>
      <c r="J523">
        <v>0.000216057</v>
      </c>
      <c r="K523">
        <v>0</v>
      </c>
      <c r="L523">
        <v>13094564</v>
      </c>
      <c r="M523">
        <v>2833.84</v>
      </c>
      <c r="N523">
        <v>0</v>
      </c>
      <c r="O523">
        <v>13094564</v>
      </c>
      <c r="P523">
        <v>2829.18</v>
      </c>
      <c r="Q523">
        <v>0</v>
      </c>
      <c r="R523">
        <v>0</v>
      </c>
      <c r="S523">
        <v>0.001</v>
      </c>
      <c r="T523" t="s">
        <v>551</v>
      </c>
    </row>
    <row r="524" spans="1:20" ht="15">
      <c r="A524" t="s">
        <v>19</v>
      </c>
      <c r="B524" t="s">
        <v>20</v>
      </c>
      <c r="C524" t="str">
        <f t="shared" si="8"/>
        <v>31-Dec-21</v>
      </c>
      <c r="D524" t="s">
        <v>21</v>
      </c>
      <c r="E524" t="s">
        <v>22</v>
      </c>
      <c r="F524" t="str">
        <f>"5624030"</f>
        <v>5624030</v>
      </c>
      <c r="G524" t="s">
        <v>552</v>
      </c>
      <c r="I524" t="s">
        <v>553</v>
      </c>
      <c r="J524">
        <v>0.04024148</v>
      </c>
      <c r="K524">
        <v>4251</v>
      </c>
      <c r="L524">
        <v>2298918.85</v>
      </c>
      <c r="M524">
        <v>87444.14</v>
      </c>
      <c r="N524">
        <v>827</v>
      </c>
      <c r="O524">
        <v>3515577</v>
      </c>
      <c r="P524">
        <v>141472.02</v>
      </c>
      <c r="Q524">
        <v>0</v>
      </c>
      <c r="R524">
        <v>0</v>
      </c>
      <c r="S524">
        <v>0.07</v>
      </c>
      <c r="T524" t="s">
        <v>25</v>
      </c>
    </row>
    <row r="525" spans="1:20" ht="15">
      <c r="A525" t="s">
        <v>19</v>
      </c>
      <c r="B525" t="s">
        <v>20</v>
      </c>
      <c r="C525" t="str">
        <f t="shared" si="8"/>
        <v>31-Dec-21</v>
      </c>
      <c r="D525" t="s">
        <v>21</v>
      </c>
      <c r="E525" t="s">
        <v>22</v>
      </c>
      <c r="F525" t="str">
        <f>"4519449"</f>
        <v>4519449</v>
      </c>
      <c r="G525" t="s">
        <v>554</v>
      </c>
      <c r="I525" t="s">
        <v>553</v>
      </c>
      <c r="J525">
        <v>0.04024148</v>
      </c>
      <c r="K525">
        <v>1716</v>
      </c>
      <c r="L525">
        <v>1591882.21</v>
      </c>
      <c r="M525">
        <v>59840.25</v>
      </c>
      <c r="N525">
        <v>935</v>
      </c>
      <c r="O525">
        <v>1604460</v>
      </c>
      <c r="P525">
        <v>64565.84</v>
      </c>
      <c r="Q525">
        <v>0</v>
      </c>
      <c r="R525">
        <v>0</v>
      </c>
      <c r="S525">
        <v>0.032</v>
      </c>
      <c r="T525" t="s">
        <v>25</v>
      </c>
    </row>
    <row r="526" spans="1:20" ht="15">
      <c r="A526" t="s">
        <v>19</v>
      </c>
      <c r="B526" t="s">
        <v>20</v>
      </c>
      <c r="C526" t="str">
        <f t="shared" si="8"/>
        <v>31-Dec-21</v>
      </c>
      <c r="D526" t="s">
        <v>21</v>
      </c>
      <c r="E526" t="s">
        <v>22</v>
      </c>
      <c r="F526" t="str">
        <f>"BD3CQ16"</f>
        <v>BD3CQ16</v>
      </c>
      <c r="G526" t="s">
        <v>555</v>
      </c>
      <c r="I526" t="s">
        <v>553</v>
      </c>
      <c r="J526">
        <v>0.04024148</v>
      </c>
      <c r="K526">
        <v>14145</v>
      </c>
      <c r="L526">
        <v>1122896.87</v>
      </c>
      <c r="M526">
        <v>43069.37</v>
      </c>
      <c r="N526">
        <v>93.75</v>
      </c>
      <c r="O526">
        <v>1326093.75</v>
      </c>
      <c r="P526">
        <v>53363.98</v>
      </c>
      <c r="Q526">
        <v>36069.75</v>
      </c>
      <c r="R526">
        <v>1451.5</v>
      </c>
      <c r="S526">
        <v>0.027</v>
      </c>
      <c r="T526" t="s">
        <v>25</v>
      </c>
    </row>
    <row r="527" spans="1:20" ht="15">
      <c r="A527" t="s">
        <v>19</v>
      </c>
      <c r="B527" t="s">
        <v>20</v>
      </c>
      <c r="C527" t="str">
        <f t="shared" si="8"/>
        <v>31-Dec-21</v>
      </c>
      <c r="D527" t="s">
        <v>21</v>
      </c>
      <c r="E527" t="s">
        <v>22</v>
      </c>
      <c r="F527" t="str">
        <f>"5272569"</f>
        <v>5272569</v>
      </c>
      <c r="G527" t="s">
        <v>556</v>
      </c>
      <c r="I527" t="s">
        <v>553</v>
      </c>
      <c r="J527">
        <v>0.04024148</v>
      </c>
      <c r="K527">
        <v>2125</v>
      </c>
      <c r="L527">
        <v>559342.5</v>
      </c>
      <c r="M527">
        <v>21415.59</v>
      </c>
      <c r="N527">
        <v>267</v>
      </c>
      <c r="O527">
        <v>567375</v>
      </c>
      <c r="P527">
        <v>22832.01</v>
      </c>
      <c r="Q527">
        <v>0</v>
      </c>
      <c r="R527">
        <v>0</v>
      </c>
      <c r="S527">
        <v>0.011</v>
      </c>
      <c r="T527" t="s">
        <v>25</v>
      </c>
    </row>
    <row r="528" spans="1:20" ht="15">
      <c r="A528" t="s">
        <v>19</v>
      </c>
      <c r="B528" t="s">
        <v>20</v>
      </c>
      <c r="C528" t="str">
        <f t="shared" si="8"/>
        <v>31-Dec-21</v>
      </c>
      <c r="D528" t="s">
        <v>21</v>
      </c>
      <c r="E528" t="s">
        <v>39</v>
      </c>
      <c r="I528" t="s">
        <v>553</v>
      </c>
      <c r="J528">
        <v>0.04024148</v>
      </c>
      <c r="K528">
        <v>0</v>
      </c>
      <c r="L528">
        <v>318354.03</v>
      </c>
      <c r="M528">
        <v>12490.51</v>
      </c>
      <c r="N528">
        <v>0</v>
      </c>
      <c r="O528">
        <v>318354.03</v>
      </c>
      <c r="P528">
        <v>12811.04</v>
      </c>
      <c r="Q528">
        <v>0</v>
      </c>
      <c r="R528">
        <v>0</v>
      </c>
      <c r="S528">
        <v>0.006</v>
      </c>
      <c r="T528" t="s">
        <v>557</v>
      </c>
    </row>
    <row r="529" spans="1:20" ht="15">
      <c r="A529" t="s">
        <v>19</v>
      </c>
      <c r="B529" t="s">
        <v>20</v>
      </c>
      <c r="C529" t="str">
        <f t="shared" si="8"/>
        <v>31-Dec-21</v>
      </c>
      <c r="D529" t="s">
        <v>21</v>
      </c>
      <c r="E529" t="s">
        <v>22</v>
      </c>
      <c r="F529" t="str">
        <f>"6243898"</f>
        <v>6243898</v>
      </c>
      <c r="G529" t="s">
        <v>558</v>
      </c>
      <c r="I529" t="s">
        <v>559</v>
      </c>
      <c r="J529">
        <v>0.05597408</v>
      </c>
      <c r="K529">
        <v>58470</v>
      </c>
      <c r="L529">
        <v>2398250.61</v>
      </c>
      <c r="M529">
        <v>130711.47</v>
      </c>
      <c r="N529">
        <v>52.99</v>
      </c>
      <c r="O529">
        <v>3098325.3</v>
      </c>
      <c r="P529">
        <v>173425.91</v>
      </c>
      <c r="Q529">
        <v>0</v>
      </c>
      <c r="R529">
        <v>0</v>
      </c>
      <c r="S529">
        <v>0.086</v>
      </c>
      <c r="T529" t="s">
        <v>25</v>
      </c>
    </row>
    <row r="530" spans="1:20" ht="15">
      <c r="A530" t="s">
        <v>19</v>
      </c>
      <c r="B530" t="s">
        <v>20</v>
      </c>
      <c r="C530" t="str">
        <f t="shared" si="8"/>
        <v>31-Dec-21</v>
      </c>
      <c r="D530" t="s">
        <v>21</v>
      </c>
      <c r="E530" t="s">
        <v>22</v>
      </c>
      <c r="F530" t="str">
        <f>"6298177"</f>
        <v>6298177</v>
      </c>
      <c r="G530" t="s">
        <v>560</v>
      </c>
      <c r="I530" t="s">
        <v>559</v>
      </c>
      <c r="J530">
        <v>0.05597408</v>
      </c>
      <c r="K530">
        <v>15947</v>
      </c>
      <c r="L530">
        <v>428186.44</v>
      </c>
      <c r="M530">
        <v>19545.42</v>
      </c>
      <c r="N530">
        <v>10.72</v>
      </c>
      <c r="O530">
        <v>170951.84</v>
      </c>
      <c r="P530">
        <v>9568.87</v>
      </c>
      <c r="Q530">
        <v>9568.2</v>
      </c>
      <c r="R530">
        <v>535.57</v>
      </c>
      <c r="S530">
        <v>0.005</v>
      </c>
      <c r="T530" t="s">
        <v>25</v>
      </c>
    </row>
    <row r="531" spans="1:20" ht="15">
      <c r="A531" t="s">
        <v>19</v>
      </c>
      <c r="B531" t="s">
        <v>20</v>
      </c>
      <c r="C531" t="str">
        <f t="shared" si="8"/>
        <v>31-Dec-21</v>
      </c>
      <c r="D531" t="s">
        <v>21</v>
      </c>
      <c r="E531" t="s">
        <v>22</v>
      </c>
      <c r="F531" t="str">
        <f>"B15Q010"</f>
        <v>B15Q010</v>
      </c>
      <c r="G531" t="s">
        <v>561</v>
      </c>
      <c r="I531" t="s">
        <v>559</v>
      </c>
      <c r="J531">
        <v>0.05597408</v>
      </c>
      <c r="K531">
        <v>56860</v>
      </c>
      <c r="L531">
        <v>276598.31</v>
      </c>
      <c r="M531">
        <v>32630.79</v>
      </c>
      <c r="N531">
        <v>9.83</v>
      </c>
      <c r="O531">
        <v>558933.8</v>
      </c>
      <c r="P531">
        <v>31285.81</v>
      </c>
      <c r="Q531">
        <v>0</v>
      </c>
      <c r="R531">
        <v>0</v>
      </c>
      <c r="S531">
        <v>0.016</v>
      </c>
      <c r="T531" t="s">
        <v>25</v>
      </c>
    </row>
    <row r="532" spans="1:20" ht="15">
      <c r="A532" t="s">
        <v>19</v>
      </c>
      <c r="B532" t="s">
        <v>20</v>
      </c>
      <c r="C532" t="str">
        <f t="shared" si="8"/>
        <v>31-Dec-21</v>
      </c>
      <c r="D532" t="s">
        <v>21</v>
      </c>
      <c r="E532" t="s">
        <v>22</v>
      </c>
      <c r="F532" t="str">
        <f>"B0S6009"</f>
        <v>B0S6009</v>
      </c>
      <c r="G532" t="s">
        <v>562</v>
      </c>
      <c r="I532" t="s">
        <v>559</v>
      </c>
      <c r="J532">
        <v>0.05597408</v>
      </c>
      <c r="K532">
        <v>24797</v>
      </c>
      <c r="L532">
        <v>340857.44</v>
      </c>
      <c r="M532">
        <v>36914.81</v>
      </c>
      <c r="N532">
        <v>16.77</v>
      </c>
      <c r="O532">
        <v>415845.69</v>
      </c>
      <c r="P532">
        <v>23276.58</v>
      </c>
      <c r="Q532">
        <v>0</v>
      </c>
      <c r="R532">
        <v>0</v>
      </c>
      <c r="S532">
        <v>0.012</v>
      </c>
      <c r="T532" t="s">
        <v>25</v>
      </c>
    </row>
    <row r="533" spans="1:20" ht="15">
      <c r="A533" t="s">
        <v>19</v>
      </c>
      <c r="B533" t="s">
        <v>20</v>
      </c>
      <c r="C533" t="str">
        <f t="shared" si="8"/>
        <v>31-Dec-21</v>
      </c>
      <c r="D533" t="s">
        <v>21</v>
      </c>
      <c r="E533" t="s">
        <v>39</v>
      </c>
      <c r="I533" t="s">
        <v>559</v>
      </c>
      <c r="J533">
        <v>0.05597408</v>
      </c>
      <c r="K533">
        <v>0</v>
      </c>
      <c r="L533">
        <v>40013.33</v>
      </c>
      <c r="M533">
        <v>2202.33</v>
      </c>
      <c r="N533">
        <v>0</v>
      </c>
      <c r="O533">
        <v>40013.33</v>
      </c>
      <c r="P533">
        <v>2239.71</v>
      </c>
      <c r="Q533">
        <v>0</v>
      </c>
      <c r="R533">
        <v>0</v>
      </c>
      <c r="S533">
        <v>0.001</v>
      </c>
      <c r="T533" t="s">
        <v>557</v>
      </c>
    </row>
    <row r="534" spans="1:20" ht="15">
      <c r="A534" t="s">
        <v>19</v>
      </c>
      <c r="B534" t="s">
        <v>20</v>
      </c>
      <c r="C534" t="str">
        <f t="shared" si="8"/>
        <v>31-Dec-21</v>
      </c>
      <c r="D534" t="s">
        <v>21</v>
      </c>
      <c r="E534" t="s">
        <v>22</v>
      </c>
      <c r="F534" t="str">
        <f>"BZ1MXR7"</f>
        <v>BZ1MXR7</v>
      </c>
      <c r="G534" t="s">
        <v>563</v>
      </c>
      <c r="I534" t="s">
        <v>21</v>
      </c>
      <c r="J534">
        <v>1</v>
      </c>
      <c r="K534">
        <v>51068</v>
      </c>
      <c r="L534">
        <v>96948.07</v>
      </c>
      <c r="M534">
        <v>96948.07</v>
      </c>
      <c r="N534">
        <v>1.077</v>
      </c>
      <c r="O534">
        <v>55000.24</v>
      </c>
      <c r="P534">
        <v>55000.24</v>
      </c>
      <c r="Q534">
        <v>0</v>
      </c>
      <c r="R534">
        <v>0</v>
      </c>
      <c r="S534">
        <v>0.027</v>
      </c>
      <c r="T534" t="s">
        <v>25</v>
      </c>
    </row>
    <row r="535" spans="1:20" ht="15">
      <c r="A535" t="s">
        <v>19</v>
      </c>
      <c r="B535" t="s">
        <v>20</v>
      </c>
      <c r="C535" t="str">
        <f t="shared" si="8"/>
        <v>31-Dec-21</v>
      </c>
      <c r="D535" t="s">
        <v>21</v>
      </c>
      <c r="E535" t="s">
        <v>22</v>
      </c>
      <c r="F535" t="str">
        <f>"BYZ43T4"</f>
        <v>BYZ43T4</v>
      </c>
      <c r="G535" t="s">
        <v>564</v>
      </c>
      <c r="I535" t="s">
        <v>21</v>
      </c>
      <c r="J535">
        <v>1</v>
      </c>
      <c r="K535">
        <v>94941</v>
      </c>
      <c r="L535">
        <v>79721.11</v>
      </c>
      <c r="M535">
        <v>79721.11</v>
      </c>
      <c r="N535">
        <v>0.8914</v>
      </c>
      <c r="O535">
        <v>84630.41</v>
      </c>
      <c r="P535">
        <v>84630.41</v>
      </c>
      <c r="Q535">
        <v>0</v>
      </c>
      <c r="R535">
        <v>0</v>
      </c>
      <c r="S535">
        <v>0.042</v>
      </c>
      <c r="T535" t="s">
        <v>25</v>
      </c>
    </row>
    <row r="536" spans="1:20" ht="15">
      <c r="A536" t="s">
        <v>19</v>
      </c>
      <c r="B536" t="s">
        <v>20</v>
      </c>
      <c r="C536" t="str">
        <f t="shared" si="8"/>
        <v>31-Dec-21</v>
      </c>
      <c r="D536" t="s">
        <v>21</v>
      </c>
      <c r="E536" t="s">
        <v>22</v>
      </c>
      <c r="F536" t="str">
        <f>"B681D63"</f>
        <v>B681D63</v>
      </c>
      <c r="G536" t="s">
        <v>565</v>
      </c>
      <c r="I536" t="s">
        <v>21</v>
      </c>
      <c r="J536">
        <v>1</v>
      </c>
      <c r="K536">
        <v>2200</v>
      </c>
      <c r="L536">
        <v>42750.04</v>
      </c>
      <c r="M536">
        <v>42750.04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 t="s">
        <v>25</v>
      </c>
    </row>
    <row r="537" spans="1:20" ht="15">
      <c r="A537" t="s">
        <v>19</v>
      </c>
      <c r="B537" t="s">
        <v>20</v>
      </c>
      <c r="C537" t="str">
        <f t="shared" si="8"/>
        <v>31-Dec-21</v>
      </c>
      <c r="D537" t="s">
        <v>21</v>
      </c>
      <c r="E537" t="s">
        <v>22</v>
      </c>
      <c r="F537" t="str">
        <f>"5475658"</f>
        <v>5475658</v>
      </c>
      <c r="G537" t="s">
        <v>566</v>
      </c>
      <c r="I537" t="s">
        <v>21</v>
      </c>
      <c r="J537">
        <v>1</v>
      </c>
      <c r="K537">
        <v>2543</v>
      </c>
      <c r="L537">
        <v>19399.46</v>
      </c>
      <c r="M537">
        <v>19399.46</v>
      </c>
      <c r="N537">
        <v>6.22</v>
      </c>
      <c r="O537">
        <v>15817.46</v>
      </c>
      <c r="P537">
        <v>15817.46</v>
      </c>
      <c r="Q537">
        <v>0</v>
      </c>
      <c r="R537">
        <v>0</v>
      </c>
      <c r="S537">
        <v>0.008</v>
      </c>
      <c r="T537" t="s">
        <v>25</v>
      </c>
    </row>
    <row r="538" spans="1:20" ht="15">
      <c r="A538" t="s">
        <v>19</v>
      </c>
      <c r="B538" t="s">
        <v>20</v>
      </c>
      <c r="C538" t="str">
        <f t="shared" si="8"/>
        <v>31-Dec-21</v>
      </c>
      <c r="D538" t="s">
        <v>21</v>
      </c>
      <c r="E538" t="s">
        <v>22</v>
      </c>
      <c r="F538" t="str">
        <f>"5051605"</f>
        <v>5051605</v>
      </c>
      <c r="G538" t="s">
        <v>567</v>
      </c>
      <c r="I538" t="s">
        <v>21</v>
      </c>
      <c r="J538">
        <v>1</v>
      </c>
      <c r="K538">
        <v>7776</v>
      </c>
      <c r="L538">
        <v>82535.82</v>
      </c>
      <c r="M538">
        <v>82535.82</v>
      </c>
      <c r="N538">
        <v>16.255</v>
      </c>
      <c r="O538">
        <v>126398.88</v>
      </c>
      <c r="P538">
        <v>126398.88</v>
      </c>
      <c r="Q538">
        <v>0</v>
      </c>
      <c r="R538">
        <v>0</v>
      </c>
      <c r="S538">
        <v>0.063</v>
      </c>
      <c r="T538" t="s">
        <v>25</v>
      </c>
    </row>
    <row r="539" spans="1:20" ht="15">
      <c r="A539" t="s">
        <v>19</v>
      </c>
      <c r="B539" t="s">
        <v>20</v>
      </c>
      <c r="C539" t="str">
        <f t="shared" si="8"/>
        <v>31-Dec-21</v>
      </c>
      <c r="D539" t="s">
        <v>21</v>
      </c>
      <c r="E539" t="s">
        <v>22</v>
      </c>
      <c r="F539" t="str">
        <f>"7243530"</f>
        <v>7243530</v>
      </c>
      <c r="G539" t="s">
        <v>568</v>
      </c>
      <c r="I539" t="s">
        <v>21</v>
      </c>
      <c r="J539">
        <v>1</v>
      </c>
      <c r="K539">
        <v>4157</v>
      </c>
      <c r="L539">
        <v>50309.93</v>
      </c>
      <c r="M539">
        <v>50309.93</v>
      </c>
      <c r="N539">
        <v>12.6</v>
      </c>
      <c r="O539">
        <v>52378.2</v>
      </c>
      <c r="P539">
        <v>52378.2</v>
      </c>
      <c r="Q539">
        <v>0</v>
      </c>
      <c r="R539">
        <v>0</v>
      </c>
      <c r="S539">
        <v>0.026</v>
      </c>
      <c r="T539" t="s">
        <v>25</v>
      </c>
    </row>
    <row r="540" spans="1:20" ht="15">
      <c r="A540" t="s">
        <v>19</v>
      </c>
      <c r="B540" t="s">
        <v>20</v>
      </c>
      <c r="C540" t="str">
        <f t="shared" si="8"/>
        <v>31-Dec-21</v>
      </c>
      <c r="D540" t="s">
        <v>21</v>
      </c>
      <c r="E540" t="s">
        <v>22</v>
      </c>
      <c r="F540" t="str">
        <f>"5996234"</f>
        <v>5996234</v>
      </c>
      <c r="G540" t="s">
        <v>569</v>
      </c>
      <c r="I540" t="s">
        <v>21</v>
      </c>
      <c r="J540">
        <v>1</v>
      </c>
      <c r="K540">
        <v>2441</v>
      </c>
      <c r="L540">
        <v>46186.8</v>
      </c>
      <c r="M540">
        <v>46186.8</v>
      </c>
      <c r="N540">
        <v>13.75</v>
      </c>
      <c r="O540">
        <v>33563.75</v>
      </c>
      <c r="P540">
        <v>33563.75</v>
      </c>
      <c r="Q540">
        <v>0</v>
      </c>
      <c r="R540">
        <v>0</v>
      </c>
      <c r="S540">
        <v>0.017</v>
      </c>
      <c r="T540" t="s">
        <v>25</v>
      </c>
    </row>
    <row r="541" spans="1:20" ht="15">
      <c r="A541" t="s">
        <v>19</v>
      </c>
      <c r="B541" t="s">
        <v>20</v>
      </c>
      <c r="C541" t="str">
        <f t="shared" si="8"/>
        <v>31-Dec-21</v>
      </c>
      <c r="D541" t="s">
        <v>21</v>
      </c>
      <c r="E541" t="s">
        <v>22</v>
      </c>
      <c r="F541" t="str">
        <f>"5898664"</f>
        <v>5898664</v>
      </c>
      <c r="G541" t="s">
        <v>570</v>
      </c>
      <c r="I541" t="s">
        <v>21</v>
      </c>
      <c r="J541">
        <v>1</v>
      </c>
      <c r="K541">
        <v>3444</v>
      </c>
      <c r="L541">
        <v>35096.5</v>
      </c>
      <c r="M541">
        <v>35096.5</v>
      </c>
      <c r="N541">
        <v>15.13</v>
      </c>
      <c r="O541">
        <v>52107.72</v>
      </c>
      <c r="P541">
        <v>52107.72</v>
      </c>
      <c r="Q541">
        <v>0</v>
      </c>
      <c r="R541">
        <v>0</v>
      </c>
      <c r="S541">
        <v>0.026</v>
      </c>
      <c r="T541" t="s">
        <v>25</v>
      </c>
    </row>
    <row r="542" spans="1:20" ht="15">
      <c r="A542" t="s">
        <v>19</v>
      </c>
      <c r="B542" t="s">
        <v>20</v>
      </c>
      <c r="C542" t="str">
        <f t="shared" si="8"/>
        <v>31-Dec-21</v>
      </c>
      <c r="D542" t="s">
        <v>21</v>
      </c>
      <c r="E542" t="s">
        <v>22</v>
      </c>
      <c r="F542" t="str">
        <f>"BG087C6"</f>
        <v>BG087C6</v>
      </c>
      <c r="G542" t="s">
        <v>571</v>
      </c>
      <c r="I542" t="s">
        <v>21</v>
      </c>
      <c r="J542">
        <v>1</v>
      </c>
      <c r="K542">
        <v>20262</v>
      </c>
      <c r="L542">
        <v>50028.47</v>
      </c>
      <c r="M542">
        <v>50028.47</v>
      </c>
      <c r="N542">
        <v>2.932</v>
      </c>
      <c r="O542">
        <v>59408.18</v>
      </c>
      <c r="P542">
        <v>59408.18</v>
      </c>
      <c r="Q542">
        <v>0</v>
      </c>
      <c r="R542">
        <v>0</v>
      </c>
      <c r="S542">
        <v>0.029</v>
      </c>
      <c r="T542" t="s">
        <v>25</v>
      </c>
    </row>
    <row r="543" spans="1:20" ht="15">
      <c r="A543" t="s">
        <v>19</v>
      </c>
      <c r="B543" t="s">
        <v>20</v>
      </c>
      <c r="C543" t="str">
        <f t="shared" si="8"/>
        <v>31-Dec-21</v>
      </c>
      <c r="D543" t="s">
        <v>21</v>
      </c>
      <c r="E543" t="s">
        <v>22</v>
      </c>
      <c r="F543" t="str">
        <f>"7107250"</f>
        <v>7107250</v>
      </c>
      <c r="G543" t="s">
        <v>572</v>
      </c>
      <c r="I543" t="s">
        <v>21</v>
      </c>
      <c r="J543">
        <v>1</v>
      </c>
      <c r="K543">
        <v>5510</v>
      </c>
      <c r="L543">
        <v>39092.53</v>
      </c>
      <c r="M543">
        <v>39092.53</v>
      </c>
      <c r="N543">
        <v>12.47</v>
      </c>
      <c r="O543">
        <v>68709.7</v>
      </c>
      <c r="P543">
        <v>68709.7</v>
      </c>
      <c r="Q543">
        <v>0</v>
      </c>
      <c r="R543">
        <v>0</v>
      </c>
      <c r="S543">
        <v>0.034</v>
      </c>
      <c r="T543" t="s">
        <v>25</v>
      </c>
    </row>
    <row r="544" spans="1:20" ht="15">
      <c r="A544" t="s">
        <v>19</v>
      </c>
      <c r="B544" t="s">
        <v>20</v>
      </c>
      <c r="C544" t="str">
        <f t="shared" si="8"/>
        <v>31-Dec-21</v>
      </c>
      <c r="D544" t="s">
        <v>21</v>
      </c>
      <c r="E544" t="s">
        <v>22</v>
      </c>
      <c r="F544" t="str">
        <f>"BNC0DB0"</f>
        <v>BNC0DB0</v>
      </c>
      <c r="G544" t="s">
        <v>573</v>
      </c>
      <c r="I544" t="s">
        <v>21</v>
      </c>
      <c r="J544">
        <v>1</v>
      </c>
      <c r="K544">
        <v>20776</v>
      </c>
      <c r="L544">
        <v>30649.08</v>
      </c>
      <c r="M544">
        <v>30649.08</v>
      </c>
      <c r="N544">
        <v>1.29</v>
      </c>
      <c r="O544">
        <v>26801.04</v>
      </c>
      <c r="P544">
        <v>26801.04</v>
      </c>
      <c r="Q544">
        <v>0</v>
      </c>
      <c r="R544">
        <v>0</v>
      </c>
      <c r="S544">
        <v>0.013</v>
      </c>
      <c r="T544" t="s">
        <v>25</v>
      </c>
    </row>
    <row r="545" spans="1:20" ht="15">
      <c r="A545" t="s">
        <v>19</v>
      </c>
      <c r="B545" t="s">
        <v>20</v>
      </c>
      <c r="C545" t="str">
        <f t="shared" si="8"/>
        <v>31-Dec-21</v>
      </c>
      <c r="D545" t="s">
        <v>21</v>
      </c>
      <c r="E545" t="s">
        <v>22</v>
      </c>
      <c r="F545" t="str">
        <f>"7268298"</f>
        <v>7268298</v>
      </c>
      <c r="G545" t="s">
        <v>574</v>
      </c>
      <c r="I545" t="s">
        <v>21</v>
      </c>
      <c r="J545">
        <v>1</v>
      </c>
      <c r="K545">
        <v>5171</v>
      </c>
      <c r="L545">
        <v>49096.54</v>
      </c>
      <c r="M545">
        <v>49096.54</v>
      </c>
      <c r="N545">
        <v>9.4</v>
      </c>
      <c r="O545">
        <v>48607.4</v>
      </c>
      <c r="P545">
        <v>48607.4</v>
      </c>
      <c r="Q545">
        <v>0</v>
      </c>
      <c r="R545">
        <v>0</v>
      </c>
      <c r="S545">
        <v>0.024</v>
      </c>
      <c r="T545" t="s">
        <v>25</v>
      </c>
    </row>
    <row r="546" spans="1:20" ht="15">
      <c r="A546" t="s">
        <v>19</v>
      </c>
      <c r="B546" t="s">
        <v>20</v>
      </c>
      <c r="C546" t="str">
        <f t="shared" si="8"/>
        <v>31-Dec-21</v>
      </c>
      <c r="D546" t="s">
        <v>21</v>
      </c>
      <c r="E546" t="s">
        <v>22</v>
      </c>
      <c r="F546" t="str">
        <f>"B28XVV2"</f>
        <v>B28XVV2</v>
      </c>
      <c r="G546" t="s">
        <v>575</v>
      </c>
      <c r="I546" t="s">
        <v>21</v>
      </c>
      <c r="J546">
        <v>1</v>
      </c>
      <c r="K546">
        <v>1555</v>
      </c>
      <c r="L546">
        <v>19360.16</v>
      </c>
      <c r="M546">
        <v>19360.16</v>
      </c>
      <c r="N546">
        <v>13.58</v>
      </c>
      <c r="O546">
        <v>21116.9</v>
      </c>
      <c r="P546">
        <v>21116.9</v>
      </c>
      <c r="Q546">
        <v>0</v>
      </c>
      <c r="R546">
        <v>0</v>
      </c>
      <c r="S546">
        <v>0.01</v>
      </c>
      <c r="T546" t="s">
        <v>25</v>
      </c>
    </row>
    <row r="547" spans="1:20" ht="15">
      <c r="A547" t="s">
        <v>19</v>
      </c>
      <c r="B547" t="s">
        <v>20</v>
      </c>
      <c r="C547" t="str">
        <f t="shared" si="8"/>
        <v>31-Dec-21</v>
      </c>
      <c r="D547" t="s">
        <v>21</v>
      </c>
      <c r="E547" t="s">
        <v>39</v>
      </c>
      <c r="I547" t="s">
        <v>21</v>
      </c>
      <c r="J547">
        <v>1</v>
      </c>
      <c r="K547">
        <v>0</v>
      </c>
      <c r="L547">
        <v>323619.91</v>
      </c>
      <c r="M547">
        <v>323619.91</v>
      </c>
      <c r="N547">
        <v>0</v>
      </c>
      <c r="O547">
        <v>323619.91</v>
      </c>
      <c r="P547">
        <v>323619.91</v>
      </c>
      <c r="Q547">
        <v>0</v>
      </c>
      <c r="R547">
        <v>0</v>
      </c>
      <c r="S547">
        <v>0.16</v>
      </c>
      <c r="T547" t="s">
        <v>576</v>
      </c>
    </row>
    <row r="548" spans="1:20" ht="15">
      <c r="A548" t="s">
        <v>19</v>
      </c>
      <c r="B548" t="s">
        <v>20</v>
      </c>
      <c r="C548" t="str">
        <f t="shared" si="8"/>
        <v>31-Dec-21</v>
      </c>
      <c r="D548" t="s">
        <v>21</v>
      </c>
      <c r="E548" t="s">
        <v>577</v>
      </c>
      <c r="I548" t="s">
        <v>21</v>
      </c>
      <c r="J548">
        <v>1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 t="s">
        <v>40</v>
      </c>
    </row>
    <row r="549" spans="1:20" ht="15">
      <c r="A549" t="s">
        <v>19</v>
      </c>
      <c r="B549" t="s">
        <v>20</v>
      </c>
      <c r="C549" t="str">
        <f t="shared" si="8"/>
        <v>31-Dec-21</v>
      </c>
      <c r="D549" t="s">
        <v>21</v>
      </c>
      <c r="E549" t="s">
        <v>39</v>
      </c>
      <c r="I549" t="s">
        <v>578</v>
      </c>
      <c r="J549">
        <v>1.191039395</v>
      </c>
      <c r="K549">
        <v>0</v>
      </c>
      <c r="L549">
        <v>4.18</v>
      </c>
      <c r="M549">
        <v>3.74</v>
      </c>
      <c r="N549">
        <v>0</v>
      </c>
      <c r="O549">
        <v>4.18</v>
      </c>
      <c r="P549">
        <v>4.98</v>
      </c>
      <c r="Q549">
        <v>0</v>
      </c>
      <c r="R549">
        <v>0</v>
      </c>
      <c r="S549">
        <v>0</v>
      </c>
      <c r="T549" t="s">
        <v>579</v>
      </c>
    </row>
    <row r="550" spans="1:20" ht="15">
      <c r="A550" t="s">
        <v>19</v>
      </c>
      <c r="B550" t="s">
        <v>20</v>
      </c>
      <c r="C550" t="str">
        <f t="shared" si="8"/>
        <v>31-Dec-21</v>
      </c>
      <c r="D550" t="s">
        <v>21</v>
      </c>
      <c r="E550" t="s">
        <v>22</v>
      </c>
      <c r="F550" t="str">
        <f>"BY9D3L9"</f>
        <v>BY9D3L9</v>
      </c>
      <c r="G550" t="s">
        <v>580</v>
      </c>
      <c r="I550" t="s">
        <v>581</v>
      </c>
      <c r="J550">
        <v>0.112791041</v>
      </c>
      <c r="K550">
        <v>41500</v>
      </c>
      <c r="L550">
        <v>414470.75</v>
      </c>
      <c r="M550">
        <v>46760.71</v>
      </c>
      <c r="N550">
        <v>6.5</v>
      </c>
      <c r="O550">
        <v>269750</v>
      </c>
      <c r="P550">
        <v>30425.38</v>
      </c>
      <c r="Q550">
        <v>0</v>
      </c>
      <c r="R550">
        <v>0</v>
      </c>
      <c r="S550">
        <v>0.015</v>
      </c>
      <c r="T550" t="s">
        <v>25</v>
      </c>
    </row>
    <row r="551" spans="1:20" ht="15">
      <c r="A551" t="s">
        <v>19</v>
      </c>
      <c r="B551" t="s">
        <v>20</v>
      </c>
      <c r="C551" t="str">
        <f t="shared" si="8"/>
        <v>31-Dec-21</v>
      </c>
      <c r="D551" t="s">
        <v>21</v>
      </c>
      <c r="E551" t="s">
        <v>22</v>
      </c>
      <c r="F551" t="str">
        <f>"BFWK4M2"</f>
        <v>BFWK4M2</v>
      </c>
      <c r="G551" t="s">
        <v>582</v>
      </c>
      <c r="I551" t="s">
        <v>581</v>
      </c>
      <c r="J551">
        <v>0.112791041</v>
      </c>
      <c r="K551">
        <v>12500</v>
      </c>
      <c r="L551">
        <v>379862</v>
      </c>
      <c r="M551">
        <v>44619.98</v>
      </c>
      <c r="N551">
        <v>13.3</v>
      </c>
      <c r="O551">
        <v>166250</v>
      </c>
      <c r="P551">
        <v>18751.51</v>
      </c>
      <c r="Q551">
        <v>0</v>
      </c>
      <c r="R551">
        <v>0</v>
      </c>
      <c r="S551">
        <v>0.009</v>
      </c>
      <c r="T551" t="s">
        <v>25</v>
      </c>
    </row>
    <row r="552" spans="1:20" ht="15">
      <c r="A552" t="s">
        <v>19</v>
      </c>
      <c r="B552" t="s">
        <v>20</v>
      </c>
      <c r="C552" t="str">
        <f t="shared" si="8"/>
        <v>31-Dec-21</v>
      </c>
      <c r="D552" t="s">
        <v>21</v>
      </c>
      <c r="E552" t="s">
        <v>22</v>
      </c>
      <c r="F552" t="str">
        <f>"B1YVKN8"</f>
        <v>B1YVKN8</v>
      </c>
      <c r="G552" t="s">
        <v>583</v>
      </c>
      <c r="I552" t="s">
        <v>581</v>
      </c>
      <c r="J552">
        <v>0.112791041</v>
      </c>
      <c r="K552">
        <v>35400</v>
      </c>
      <c r="L552">
        <v>1366741.92</v>
      </c>
      <c r="M552">
        <v>150574.82</v>
      </c>
      <c r="N552">
        <v>116.9</v>
      </c>
      <c r="O552">
        <v>4138260</v>
      </c>
      <c r="P552">
        <v>466758.66</v>
      </c>
      <c r="Q552">
        <v>0</v>
      </c>
      <c r="R552">
        <v>0</v>
      </c>
      <c r="S552">
        <v>0.231</v>
      </c>
      <c r="T552" t="s">
        <v>25</v>
      </c>
    </row>
    <row r="553" spans="1:20" ht="15">
      <c r="A553" t="s">
        <v>19</v>
      </c>
      <c r="B553" t="s">
        <v>20</v>
      </c>
      <c r="C553" t="str">
        <f t="shared" si="8"/>
        <v>31-Dec-21</v>
      </c>
      <c r="D553" t="s">
        <v>21</v>
      </c>
      <c r="E553" t="s">
        <v>22</v>
      </c>
      <c r="F553" t="str">
        <f>"B0PR2F4"</f>
        <v>B0PR2F4</v>
      </c>
      <c r="G553" t="s">
        <v>584</v>
      </c>
      <c r="I553" t="s">
        <v>581</v>
      </c>
      <c r="J553">
        <v>0.112791041</v>
      </c>
      <c r="K553">
        <v>55750</v>
      </c>
      <c r="L553">
        <v>327623.59</v>
      </c>
      <c r="M553">
        <v>36707.25</v>
      </c>
      <c r="N553">
        <v>4.23</v>
      </c>
      <c r="O553">
        <v>235822.5</v>
      </c>
      <c r="P553">
        <v>26598.67</v>
      </c>
      <c r="Q553">
        <v>0</v>
      </c>
      <c r="R553">
        <v>0</v>
      </c>
      <c r="S553">
        <v>0.013</v>
      </c>
      <c r="T553" t="s">
        <v>25</v>
      </c>
    </row>
    <row r="554" spans="1:20" ht="15">
      <c r="A554" t="s">
        <v>19</v>
      </c>
      <c r="B554" t="s">
        <v>20</v>
      </c>
      <c r="C554" t="str">
        <f t="shared" si="8"/>
        <v>31-Dec-21</v>
      </c>
      <c r="D554" t="s">
        <v>21</v>
      </c>
      <c r="E554" t="s">
        <v>22</v>
      </c>
      <c r="F554" t="str">
        <f>"B60LZR6"</f>
        <v>B60LZR6</v>
      </c>
      <c r="G554" t="s">
        <v>585</v>
      </c>
      <c r="I554" t="s">
        <v>581</v>
      </c>
      <c r="J554">
        <v>0.112791041</v>
      </c>
      <c r="K554">
        <v>1006500</v>
      </c>
      <c r="L554">
        <v>3527279.18</v>
      </c>
      <c r="M554">
        <v>379081.29</v>
      </c>
      <c r="N554">
        <v>2.68</v>
      </c>
      <c r="O554">
        <v>2697420</v>
      </c>
      <c r="P554">
        <v>304244.81</v>
      </c>
      <c r="Q554">
        <v>0</v>
      </c>
      <c r="R554">
        <v>0</v>
      </c>
      <c r="S554">
        <v>0.151</v>
      </c>
      <c r="T554" t="s">
        <v>25</v>
      </c>
    </row>
    <row r="555" spans="1:20" ht="15">
      <c r="A555" t="s">
        <v>19</v>
      </c>
      <c r="B555" t="s">
        <v>20</v>
      </c>
      <c r="C555" t="str">
        <f t="shared" si="8"/>
        <v>31-Dec-21</v>
      </c>
      <c r="D555" t="s">
        <v>21</v>
      </c>
      <c r="E555" t="s">
        <v>22</v>
      </c>
      <c r="F555" t="str">
        <f>"B04KNF1"</f>
        <v>B04KNF1</v>
      </c>
      <c r="G555" t="s">
        <v>586</v>
      </c>
      <c r="I555" t="s">
        <v>581</v>
      </c>
      <c r="J555">
        <v>0.112791041</v>
      </c>
      <c r="K555">
        <v>26000</v>
      </c>
      <c r="L555">
        <v>158991.91</v>
      </c>
      <c r="M555">
        <v>16494.26</v>
      </c>
      <c r="N555">
        <v>5.44</v>
      </c>
      <c r="O555">
        <v>141440</v>
      </c>
      <c r="P555">
        <v>15953.16</v>
      </c>
      <c r="Q555">
        <v>0</v>
      </c>
      <c r="R555">
        <v>0</v>
      </c>
      <c r="S555">
        <v>0.008</v>
      </c>
      <c r="T555" t="s">
        <v>25</v>
      </c>
    </row>
    <row r="556" spans="1:20" ht="15">
      <c r="A556" t="s">
        <v>19</v>
      </c>
      <c r="B556" t="s">
        <v>20</v>
      </c>
      <c r="C556" t="str">
        <f t="shared" si="8"/>
        <v>31-Dec-21</v>
      </c>
      <c r="D556" t="s">
        <v>21</v>
      </c>
      <c r="E556" t="s">
        <v>22</v>
      </c>
      <c r="F556" t="str">
        <f>"BLFJ7Y1"</f>
        <v>BLFJ7Y1</v>
      </c>
      <c r="G556" t="s">
        <v>587</v>
      </c>
      <c r="I556" t="s">
        <v>581</v>
      </c>
      <c r="J556">
        <v>0.112791041</v>
      </c>
      <c r="K556">
        <v>16000</v>
      </c>
      <c r="L556">
        <v>718031.58</v>
      </c>
      <c r="M556">
        <v>79687.02</v>
      </c>
      <c r="N556">
        <v>34</v>
      </c>
      <c r="O556">
        <v>544000</v>
      </c>
      <c r="P556">
        <v>61358.33</v>
      </c>
      <c r="Q556">
        <v>0</v>
      </c>
      <c r="R556">
        <v>0</v>
      </c>
      <c r="S556">
        <v>0.03</v>
      </c>
      <c r="T556" t="s">
        <v>25</v>
      </c>
    </row>
    <row r="557" spans="1:20" ht="15">
      <c r="A557" t="s">
        <v>19</v>
      </c>
      <c r="B557" t="s">
        <v>20</v>
      </c>
      <c r="C557" t="str">
        <f t="shared" si="8"/>
        <v>31-Dec-21</v>
      </c>
      <c r="D557" t="s">
        <v>21</v>
      </c>
      <c r="E557" t="s">
        <v>22</v>
      </c>
      <c r="F557" t="str">
        <f>"BK6YZP5"</f>
        <v>BK6YZP5</v>
      </c>
      <c r="G557" t="s">
        <v>588</v>
      </c>
      <c r="I557" t="s">
        <v>581</v>
      </c>
      <c r="J557">
        <v>0.112791041</v>
      </c>
      <c r="K557">
        <v>458168</v>
      </c>
      <c r="L557">
        <v>107185655.23</v>
      </c>
      <c r="M557">
        <v>11593930.31</v>
      </c>
      <c r="N557">
        <v>118.9</v>
      </c>
      <c r="O557">
        <v>54476175.2</v>
      </c>
      <c r="P557">
        <v>6144424.53</v>
      </c>
      <c r="Q557">
        <v>0</v>
      </c>
      <c r="R557">
        <v>0</v>
      </c>
      <c r="S557">
        <v>3.046</v>
      </c>
      <c r="T557" t="s">
        <v>25</v>
      </c>
    </row>
    <row r="558" spans="1:20" ht="15">
      <c r="A558" t="s">
        <v>19</v>
      </c>
      <c r="B558" t="s">
        <v>20</v>
      </c>
      <c r="C558" t="str">
        <f t="shared" si="8"/>
        <v>31-Dec-21</v>
      </c>
      <c r="D558" t="s">
        <v>21</v>
      </c>
      <c r="E558" t="s">
        <v>22</v>
      </c>
      <c r="F558" t="str">
        <f>"BRXVS60"</f>
        <v>BRXVS60</v>
      </c>
      <c r="G558" t="s">
        <v>589</v>
      </c>
      <c r="I558" t="s">
        <v>581</v>
      </c>
      <c r="J558">
        <v>0.112791041</v>
      </c>
      <c r="K558">
        <v>166900</v>
      </c>
      <c r="L558">
        <v>1890908.53</v>
      </c>
      <c r="M558">
        <v>212370.94</v>
      </c>
      <c r="N558">
        <v>6.59</v>
      </c>
      <c r="O558">
        <v>1099871</v>
      </c>
      <c r="P558">
        <v>124055.6</v>
      </c>
      <c r="Q558">
        <v>0</v>
      </c>
      <c r="R558">
        <v>0</v>
      </c>
      <c r="S558">
        <v>0.061</v>
      </c>
      <c r="T558" t="s">
        <v>25</v>
      </c>
    </row>
    <row r="559" spans="1:20" ht="15">
      <c r="A559" t="s">
        <v>19</v>
      </c>
      <c r="B559" t="s">
        <v>20</v>
      </c>
      <c r="C559" t="str">
        <f t="shared" si="8"/>
        <v>31-Dec-21</v>
      </c>
      <c r="D559" t="s">
        <v>21</v>
      </c>
      <c r="E559" t="s">
        <v>22</v>
      </c>
      <c r="F559" t="str">
        <f>"BPYM749"</f>
        <v>BPYM749</v>
      </c>
      <c r="G559" t="s">
        <v>590</v>
      </c>
      <c r="I559" t="s">
        <v>581</v>
      </c>
      <c r="J559">
        <v>0.112791041</v>
      </c>
      <c r="K559">
        <v>487500</v>
      </c>
      <c r="L559">
        <v>1069057.65</v>
      </c>
      <c r="M559">
        <v>124598.5</v>
      </c>
      <c r="N559">
        <v>0.71</v>
      </c>
      <c r="O559">
        <v>346125</v>
      </c>
      <c r="P559">
        <v>39039.8</v>
      </c>
      <c r="Q559">
        <v>0</v>
      </c>
      <c r="R559">
        <v>0</v>
      </c>
      <c r="S559">
        <v>0.019</v>
      </c>
      <c r="T559" t="s">
        <v>25</v>
      </c>
    </row>
    <row r="560" spans="1:20" ht="15">
      <c r="A560" t="s">
        <v>19</v>
      </c>
      <c r="B560" t="s">
        <v>20</v>
      </c>
      <c r="C560" t="str">
        <f t="shared" si="8"/>
        <v>31-Dec-21</v>
      </c>
      <c r="D560" t="s">
        <v>21</v>
      </c>
      <c r="E560" t="s">
        <v>22</v>
      </c>
      <c r="F560" t="str">
        <f>"6425395"</f>
        <v>6425395</v>
      </c>
      <c r="G560" t="s">
        <v>591</v>
      </c>
      <c r="I560" t="s">
        <v>581</v>
      </c>
      <c r="J560">
        <v>0.112791041</v>
      </c>
      <c r="K560">
        <v>106000</v>
      </c>
      <c r="L560">
        <v>274402.33</v>
      </c>
      <c r="M560">
        <v>28679.6</v>
      </c>
      <c r="N560">
        <v>4.31</v>
      </c>
      <c r="O560">
        <v>456860</v>
      </c>
      <c r="P560">
        <v>51529.72</v>
      </c>
      <c r="Q560">
        <v>0</v>
      </c>
      <c r="R560">
        <v>0</v>
      </c>
      <c r="S560">
        <v>0.026</v>
      </c>
      <c r="T560" t="s">
        <v>25</v>
      </c>
    </row>
    <row r="561" spans="1:20" ht="15">
      <c r="A561" t="s">
        <v>19</v>
      </c>
      <c r="B561" t="s">
        <v>20</v>
      </c>
      <c r="C561" t="str">
        <f t="shared" si="8"/>
        <v>31-Dec-21</v>
      </c>
      <c r="D561" t="s">
        <v>21</v>
      </c>
      <c r="E561" t="s">
        <v>22</v>
      </c>
      <c r="F561" t="str">
        <f>"6015644"</f>
        <v>6015644</v>
      </c>
      <c r="G561" t="s">
        <v>592</v>
      </c>
      <c r="I561" t="s">
        <v>581</v>
      </c>
      <c r="J561">
        <v>0.112791041</v>
      </c>
      <c r="K561">
        <v>69600</v>
      </c>
      <c r="L561">
        <v>265379.34</v>
      </c>
      <c r="M561">
        <v>25137.83</v>
      </c>
      <c r="N561">
        <v>3.47</v>
      </c>
      <c r="O561">
        <v>241512</v>
      </c>
      <c r="P561">
        <v>27240.39</v>
      </c>
      <c r="Q561">
        <v>0</v>
      </c>
      <c r="R561">
        <v>0</v>
      </c>
      <c r="S561">
        <v>0.014</v>
      </c>
      <c r="T561" t="s">
        <v>25</v>
      </c>
    </row>
    <row r="562" spans="1:20" ht="15">
      <c r="A562" t="s">
        <v>19</v>
      </c>
      <c r="B562" t="s">
        <v>20</v>
      </c>
      <c r="C562" t="str">
        <f t="shared" si="8"/>
        <v>31-Dec-21</v>
      </c>
      <c r="D562" t="s">
        <v>21</v>
      </c>
      <c r="E562" t="s">
        <v>22</v>
      </c>
      <c r="F562" t="str">
        <f>"6080396"</f>
        <v>6080396</v>
      </c>
      <c r="G562" t="s">
        <v>593</v>
      </c>
      <c r="I562" t="s">
        <v>581</v>
      </c>
      <c r="J562">
        <v>0.112791041</v>
      </c>
      <c r="K562">
        <v>40500</v>
      </c>
      <c r="L562">
        <v>1281588.32</v>
      </c>
      <c r="M562">
        <v>138619.21</v>
      </c>
      <c r="N562">
        <v>38.95</v>
      </c>
      <c r="O562">
        <v>1577475</v>
      </c>
      <c r="P562">
        <v>177925.05</v>
      </c>
      <c r="Q562">
        <v>0</v>
      </c>
      <c r="R562">
        <v>0</v>
      </c>
      <c r="S562">
        <v>0.088</v>
      </c>
      <c r="T562" t="s">
        <v>25</v>
      </c>
    </row>
    <row r="563" spans="1:20" ht="15">
      <c r="A563" t="s">
        <v>19</v>
      </c>
      <c r="B563" t="s">
        <v>20</v>
      </c>
      <c r="C563" t="str">
        <f t="shared" si="8"/>
        <v>31-Dec-21</v>
      </c>
      <c r="D563" t="s">
        <v>21</v>
      </c>
      <c r="E563" t="s">
        <v>22</v>
      </c>
      <c r="F563" t="str">
        <f>"6045180"</f>
        <v>6045180</v>
      </c>
      <c r="G563" t="s">
        <v>594</v>
      </c>
      <c r="I563" t="s">
        <v>581</v>
      </c>
      <c r="J563">
        <v>0.112791041</v>
      </c>
      <c r="K563">
        <v>18000</v>
      </c>
      <c r="L563">
        <v>87411.84</v>
      </c>
      <c r="M563">
        <v>10020.45</v>
      </c>
      <c r="N563">
        <v>6.3</v>
      </c>
      <c r="O563">
        <v>113400</v>
      </c>
      <c r="P563">
        <v>12790.5</v>
      </c>
      <c r="Q563">
        <v>0</v>
      </c>
      <c r="R563">
        <v>0</v>
      </c>
      <c r="S563">
        <v>0.006</v>
      </c>
      <c r="T563" t="s">
        <v>25</v>
      </c>
    </row>
    <row r="564" spans="1:20" ht="15">
      <c r="A564" t="s">
        <v>19</v>
      </c>
      <c r="B564" t="s">
        <v>20</v>
      </c>
      <c r="C564" t="str">
        <f t="shared" si="8"/>
        <v>31-Dec-21</v>
      </c>
      <c r="D564" t="s">
        <v>21</v>
      </c>
      <c r="E564" t="s">
        <v>22</v>
      </c>
      <c r="F564" t="str">
        <f>"6026691"</f>
        <v>6026691</v>
      </c>
      <c r="G564" t="s">
        <v>595</v>
      </c>
      <c r="I564" t="s">
        <v>581</v>
      </c>
      <c r="J564">
        <v>0.112791041</v>
      </c>
      <c r="K564">
        <v>2650</v>
      </c>
      <c r="L564">
        <v>148208.09</v>
      </c>
      <c r="M564">
        <v>15905.1</v>
      </c>
      <c r="N564">
        <v>111</v>
      </c>
      <c r="O564">
        <v>294150</v>
      </c>
      <c r="P564">
        <v>33177.48</v>
      </c>
      <c r="Q564">
        <v>0</v>
      </c>
      <c r="R564">
        <v>0</v>
      </c>
      <c r="S564">
        <v>0.016</v>
      </c>
      <c r="T564" t="s">
        <v>25</v>
      </c>
    </row>
    <row r="565" spans="1:20" ht="15">
      <c r="A565" t="s">
        <v>19</v>
      </c>
      <c r="B565" t="s">
        <v>20</v>
      </c>
      <c r="C565" t="str">
        <f t="shared" si="8"/>
        <v>31-Dec-21</v>
      </c>
      <c r="D565" t="s">
        <v>21</v>
      </c>
      <c r="E565" t="s">
        <v>22</v>
      </c>
      <c r="F565" t="str">
        <f>"6707899"</f>
        <v>6707899</v>
      </c>
      <c r="G565" t="s">
        <v>596</v>
      </c>
      <c r="I565" t="s">
        <v>581</v>
      </c>
      <c r="J565">
        <v>0.112791041</v>
      </c>
      <c r="K565">
        <v>97000</v>
      </c>
      <c r="L565">
        <v>498989.78</v>
      </c>
      <c r="M565">
        <v>50283.64</v>
      </c>
      <c r="N565">
        <v>5.39</v>
      </c>
      <c r="O565">
        <v>522830</v>
      </c>
      <c r="P565">
        <v>58970.54</v>
      </c>
      <c r="Q565">
        <v>0</v>
      </c>
      <c r="R565">
        <v>0</v>
      </c>
      <c r="S565">
        <v>0.029</v>
      </c>
      <c r="T565" t="s">
        <v>25</v>
      </c>
    </row>
    <row r="566" spans="1:20" ht="15">
      <c r="A566" t="s">
        <v>19</v>
      </c>
      <c r="B566" t="s">
        <v>20</v>
      </c>
      <c r="C566" t="str">
        <f t="shared" si="8"/>
        <v>31-Dec-21</v>
      </c>
      <c r="D566" t="s">
        <v>21</v>
      </c>
      <c r="E566" t="s">
        <v>22</v>
      </c>
      <c r="F566" t="str">
        <f>"BTF8BT7"</f>
        <v>BTF8BT7</v>
      </c>
      <c r="G566" t="s">
        <v>597</v>
      </c>
      <c r="I566" t="s">
        <v>581</v>
      </c>
      <c r="J566">
        <v>0.112791041</v>
      </c>
      <c r="K566">
        <v>52300</v>
      </c>
      <c r="L566">
        <v>316957.58</v>
      </c>
      <c r="M566">
        <v>36234.88</v>
      </c>
      <c r="N566">
        <v>3.35</v>
      </c>
      <c r="O566">
        <v>175205</v>
      </c>
      <c r="P566">
        <v>19761.55</v>
      </c>
      <c r="Q566">
        <v>0</v>
      </c>
      <c r="R566">
        <v>0</v>
      </c>
      <c r="S566">
        <v>0.01</v>
      </c>
      <c r="T566" t="s">
        <v>25</v>
      </c>
    </row>
    <row r="567" spans="1:20" ht="15">
      <c r="A567" t="s">
        <v>19</v>
      </c>
      <c r="B567" t="s">
        <v>20</v>
      </c>
      <c r="C567" t="str">
        <f t="shared" si="8"/>
        <v>31-Dec-21</v>
      </c>
      <c r="D567" t="s">
        <v>21</v>
      </c>
      <c r="E567" t="s">
        <v>22</v>
      </c>
      <c r="F567" t="str">
        <f>"B3NFC51"</f>
        <v>B3NFC51</v>
      </c>
      <c r="G567" t="s">
        <v>598</v>
      </c>
      <c r="I567" t="s">
        <v>581</v>
      </c>
      <c r="J567">
        <v>0.112791041</v>
      </c>
      <c r="K567">
        <v>99000</v>
      </c>
      <c r="L567">
        <v>308863.85</v>
      </c>
      <c r="M567">
        <v>29462.46</v>
      </c>
      <c r="N567">
        <v>1.21</v>
      </c>
      <c r="O567">
        <v>119790</v>
      </c>
      <c r="P567">
        <v>13511.24</v>
      </c>
      <c r="Q567">
        <v>0</v>
      </c>
      <c r="R567">
        <v>0</v>
      </c>
      <c r="S567">
        <v>0.007</v>
      </c>
      <c r="T567" t="s">
        <v>25</v>
      </c>
    </row>
    <row r="568" spans="1:20" ht="15">
      <c r="A568" t="s">
        <v>19</v>
      </c>
      <c r="B568" t="s">
        <v>20</v>
      </c>
      <c r="C568" t="str">
        <f t="shared" si="8"/>
        <v>31-Dec-21</v>
      </c>
      <c r="D568" t="s">
        <v>21</v>
      </c>
      <c r="E568" t="s">
        <v>22</v>
      </c>
      <c r="F568" t="str">
        <f>"6001096"</f>
        <v>6001096</v>
      </c>
      <c r="G568" t="s">
        <v>599</v>
      </c>
      <c r="I568" t="s">
        <v>581</v>
      </c>
      <c r="J568">
        <v>0.112791041</v>
      </c>
      <c r="K568">
        <v>47400</v>
      </c>
      <c r="L568">
        <v>121887.84</v>
      </c>
      <c r="M568">
        <v>13602.64</v>
      </c>
      <c r="N568">
        <v>3.49</v>
      </c>
      <c r="O568">
        <v>165426</v>
      </c>
      <c r="P568">
        <v>18658.57</v>
      </c>
      <c r="Q568">
        <v>0</v>
      </c>
      <c r="R568">
        <v>0</v>
      </c>
      <c r="S568">
        <v>0.009</v>
      </c>
      <c r="T568" t="s">
        <v>25</v>
      </c>
    </row>
    <row r="569" spans="1:20" ht="15">
      <c r="A569" t="s">
        <v>19</v>
      </c>
      <c r="B569" t="s">
        <v>20</v>
      </c>
      <c r="C569" t="str">
        <f t="shared" si="8"/>
        <v>31-Dec-21</v>
      </c>
      <c r="D569" t="s">
        <v>21</v>
      </c>
      <c r="E569" t="s">
        <v>22</v>
      </c>
      <c r="F569" t="str">
        <f>"6536651"</f>
        <v>6536651</v>
      </c>
      <c r="G569" t="s">
        <v>600</v>
      </c>
      <c r="I569" t="s">
        <v>581</v>
      </c>
      <c r="J569">
        <v>0.112791041</v>
      </c>
      <c r="K569">
        <v>27000</v>
      </c>
      <c r="L569">
        <v>2269878.91</v>
      </c>
      <c r="M569">
        <v>243890.47</v>
      </c>
      <c r="N569">
        <v>266.6</v>
      </c>
      <c r="O569">
        <v>7198200</v>
      </c>
      <c r="P569">
        <v>811892.47</v>
      </c>
      <c r="Q569">
        <v>0</v>
      </c>
      <c r="R569">
        <v>0</v>
      </c>
      <c r="S569">
        <v>0.402</v>
      </c>
      <c r="T569" t="s">
        <v>25</v>
      </c>
    </row>
    <row r="570" spans="1:20" ht="15">
      <c r="A570" t="s">
        <v>19</v>
      </c>
      <c r="B570" t="s">
        <v>20</v>
      </c>
      <c r="C570" t="str">
        <f t="shared" si="8"/>
        <v>31-Dec-21</v>
      </c>
      <c r="D570" t="s">
        <v>21</v>
      </c>
      <c r="E570" t="s">
        <v>22</v>
      </c>
      <c r="F570" t="str">
        <f>"B29SHS5"</f>
        <v>B29SHS5</v>
      </c>
      <c r="G570" t="s">
        <v>601</v>
      </c>
      <c r="I570" t="s">
        <v>581</v>
      </c>
      <c r="J570">
        <v>0.112791041</v>
      </c>
      <c r="K570">
        <v>21500</v>
      </c>
      <c r="L570">
        <v>517163.71</v>
      </c>
      <c r="M570">
        <v>55891.5</v>
      </c>
      <c r="N570">
        <v>28.55</v>
      </c>
      <c r="O570">
        <v>613825</v>
      </c>
      <c r="P570">
        <v>69233.96</v>
      </c>
      <c r="Q570">
        <v>0</v>
      </c>
      <c r="R570">
        <v>0</v>
      </c>
      <c r="S570">
        <v>0.034</v>
      </c>
      <c r="T570" t="s">
        <v>25</v>
      </c>
    </row>
    <row r="571" spans="1:20" ht="15">
      <c r="A571" t="s">
        <v>19</v>
      </c>
      <c r="B571" t="s">
        <v>20</v>
      </c>
      <c r="C571" t="str">
        <f t="shared" si="8"/>
        <v>31-Dec-21</v>
      </c>
      <c r="D571" t="s">
        <v>21</v>
      </c>
      <c r="E571" t="s">
        <v>22</v>
      </c>
      <c r="F571" t="str">
        <f>"6208422"</f>
        <v>6208422</v>
      </c>
      <c r="G571" t="s">
        <v>602</v>
      </c>
      <c r="I571" t="s">
        <v>581</v>
      </c>
      <c r="J571">
        <v>0.112791041</v>
      </c>
      <c r="K571">
        <v>68000</v>
      </c>
      <c r="L571">
        <v>556418.88</v>
      </c>
      <c r="M571">
        <v>58732.34</v>
      </c>
      <c r="N571">
        <v>4.77</v>
      </c>
      <c r="O571">
        <v>324360</v>
      </c>
      <c r="P571">
        <v>36584.9</v>
      </c>
      <c r="Q571">
        <v>0</v>
      </c>
      <c r="R571">
        <v>0</v>
      </c>
      <c r="S571">
        <v>0.018</v>
      </c>
      <c r="T571" t="s">
        <v>25</v>
      </c>
    </row>
    <row r="572" spans="1:20" ht="15">
      <c r="A572" t="s">
        <v>19</v>
      </c>
      <c r="B572" t="s">
        <v>20</v>
      </c>
      <c r="C572" t="str">
        <f t="shared" si="8"/>
        <v>31-Dec-21</v>
      </c>
      <c r="D572" t="s">
        <v>21</v>
      </c>
      <c r="E572" t="s">
        <v>22</v>
      </c>
      <c r="F572" t="str">
        <f>"6081690"</f>
        <v>6081690</v>
      </c>
      <c r="G572" t="s">
        <v>603</v>
      </c>
      <c r="I572" t="s">
        <v>581</v>
      </c>
      <c r="J572">
        <v>0.112791041</v>
      </c>
      <c r="K572">
        <v>20000</v>
      </c>
      <c r="L572">
        <v>980674.14</v>
      </c>
      <c r="M572">
        <v>103879.43</v>
      </c>
      <c r="N572">
        <v>26.9</v>
      </c>
      <c r="O572">
        <v>538000</v>
      </c>
      <c r="P572">
        <v>60681.58</v>
      </c>
      <c r="Q572">
        <v>0</v>
      </c>
      <c r="R572">
        <v>0</v>
      </c>
      <c r="S572">
        <v>0.03</v>
      </c>
      <c r="T572" t="s">
        <v>25</v>
      </c>
    </row>
    <row r="573" spans="1:20" ht="15">
      <c r="A573" t="s">
        <v>19</v>
      </c>
      <c r="B573" t="s">
        <v>20</v>
      </c>
      <c r="C573" t="str">
        <f t="shared" si="8"/>
        <v>31-Dec-21</v>
      </c>
      <c r="D573" t="s">
        <v>21</v>
      </c>
      <c r="E573" t="s">
        <v>22</v>
      </c>
      <c r="F573" t="str">
        <f>"B01YCG0"</f>
        <v>B01YCG0</v>
      </c>
      <c r="G573" t="s">
        <v>604</v>
      </c>
      <c r="I573" t="s">
        <v>581</v>
      </c>
      <c r="J573">
        <v>0.112791041</v>
      </c>
      <c r="K573">
        <v>194000</v>
      </c>
      <c r="L573">
        <v>974317.57</v>
      </c>
      <c r="M573">
        <v>99830.54</v>
      </c>
      <c r="N573">
        <v>3.03</v>
      </c>
      <c r="O573">
        <v>587820</v>
      </c>
      <c r="P573">
        <v>66300.83</v>
      </c>
      <c r="Q573">
        <v>0</v>
      </c>
      <c r="R573">
        <v>0</v>
      </c>
      <c r="S573">
        <v>0.033</v>
      </c>
      <c r="T573" t="s">
        <v>25</v>
      </c>
    </row>
    <row r="574" spans="1:20" ht="15">
      <c r="A574" t="s">
        <v>19</v>
      </c>
      <c r="B574" t="s">
        <v>20</v>
      </c>
      <c r="C574" t="str">
        <f t="shared" si="8"/>
        <v>31-Dec-21</v>
      </c>
      <c r="D574" t="s">
        <v>21</v>
      </c>
      <c r="E574" t="s">
        <v>22</v>
      </c>
      <c r="F574" t="str">
        <f>"B688XD1"</f>
        <v>B688XD1</v>
      </c>
      <c r="G574" t="s">
        <v>605</v>
      </c>
      <c r="I574" t="s">
        <v>581</v>
      </c>
      <c r="J574">
        <v>0.112791041</v>
      </c>
      <c r="K574">
        <v>38000</v>
      </c>
      <c r="L574">
        <v>96879.53</v>
      </c>
      <c r="M574">
        <v>10829.09</v>
      </c>
      <c r="N574">
        <v>2.53</v>
      </c>
      <c r="O574">
        <v>96140</v>
      </c>
      <c r="P574">
        <v>10843.73</v>
      </c>
      <c r="Q574">
        <v>0</v>
      </c>
      <c r="R574">
        <v>0</v>
      </c>
      <c r="S574">
        <v>0.005</v>
      </c>
      <c r="T574" t="s">
        <v>25</v>
      </c>
    </row>
    <row r="575" spans="1:20" ht="15">
      <c r="A575" t="s">
        <v>19</v>
      </c>
      <c r="B575" t="s">
        <v>20</v>
      </c>
      <c r="C575" t="str">
        <f t="shared" si="8"/>
        <v>31-Dec-21</v>
      </c>
      <c r="D575" t="s">
        <v>21</v>
      </c>
      <c r="E575" t="s">
        <v>22</v>
      </c>
      <c r="F575" t="str">
        <f>"B154564"</f>
        <v>B154564</v>
      </c>
      <c r="G575" t="s">
        <v>606</v>
      </c>
      <c r="I575" t="s">
        <v>581</v>
      </c>
      <c r="J575">
        <v>0.112791041</v>
      </c>
      <c r="K575">
        <v>2440000</v>
      </c>
      <c r="L575">
        <v>8915261.91</v>
      </c>
      <c r="M575">
        <v>968950.6</v>
      </c>
      <c r="N575">
        <v>2.81</v>
      </c>
      <c r="O575">
        <v>6856400</v>
      </c>
      <c r="P575">
        <v>773340.5</v>
      </c>
      <c r="Q575">
        <v>0</v>
      </c>
      <c r="R575">
        <v>0</v>
      </c>
      <c r="S575">
        <v>0.383</v>
      </c>
      <c r="T575" t="s">
        <v>25</v>
      </c>
    </row>
    <row r="576" spans="1:20" ht="15">
      <c r="A576" t="s">
        <v>19</v>
      </c>
      <c r="B576" t="s">
        <v>20</v>
      </c>
      <c r="C576" t="str">
        <f t="shared" si="8"/>
        <v>31-Dec-21</v>
      </c>
      <c r="D576" t="s">
        <v>21</v>
      </c>
      <c r="E576" t="s">
        <v>22</v>
      </c>
      <c r="F576" t="str">
        <f>"B0B8Z29"</f>
        <v>B0B8Z29</v>
      </c>
      <c r="G576" t="s">
        <v>607</v>
      </c>
      <c r="I576" t="s">
        <v>581</v>
      </c>
      <c r="J576">
        <v>0.112791041</v>
      </c>
      <c r="K576">
        <v>227000</v>
      </c>
      <c r="L576">
        <v>1273534.36</v>
      </c>
      <c r="M576">
        <v>135380.63</v>
      </c>
      <c r="N576">
        <v>4.71</v>
      </c>
      <c r="O576">
        <v>1069170</v>
      </c>
      <c r="P576">
        <v>120592.8</v>
      </c>
      <c r="Q576">
        <v>0</v>
      </c>
      <c r="R576">
        <v>0</v>
      </c>
      <c r="S576">
        <v>0.06</v>
      </c>
      <c r="T576" t="s">
        <v>25</v>
      </c>
    </row>
    <row r="577" spans="1:20" ht="15">
      <c r="A577" t="s">
        <v>19</v>
      </c>
      <c r="B577" t="s">
        <v>20</v>
      </c>
      <c r="C577" t="str">
        <f t="shared" si="8"/>
        <v>31-Dec-21</v>
      </c>
      <c r="D577" t="s">
        <v>21</v>
      </c>
      <c r="E577" t="s">
        <v>22</v>
      </c>
      <c r="F577" t="str">
        <f>"B24FZ32"</f>
        <v>B24FZ32</v>
      </c>
      <c r="G577" t="s">
        <v>608</v>
      </c>
      <c r="I577" t="s">
        <v>581</v>
      </c>
      <c r="J577">
        <v>0.112791041</v>
      </c>
      <c r="K577">
        <v>108000</v>
      </c>
      <c r="L577">
        <v>156300.58</v>
      </c>
      <c r="M577">
        <v>14786.5</v>
      </c>
      <c r="N577">
        <v>4.91</v>
      </c>
      <c r="O577">
        <v>530280</v>
      </c>
      <c r="P577">
        <v>59810.83</v>
      </c>
      <c r="Q577">
        <v>4860</v>
      </c>
      <c r="R577">
        <v>548.16</v>
      </c>
      <c r="S577">
        <v>0.03</v>
      </c>
      <c r="T577" t="s">
        <v>25</v>
      </c>
    </row>
    <row r="578" spans="1:20" ht="15">
      <c r="A578" t="s">
        <v>19</v>
      </c>
      <c r="B578" t="s">
        <v>20</v>
      </c>
      <c r="C578" t="str">
        <f aca="true" t="shared" si="9" ref="C578:C641">"31-Dec-21"</f>
        <v>31-Dec-21</v>
      </c>
      <c r="D578" t="s">
        <v>21</v>
      </c>
      <c r="E578" t="s">
        <v>22</v>
      </c>
      <c r="F578" t="str">
        <f>"BSBMM04"</f>
        <v>BSBMM04</v>
      </c>
      <c r="G578" t="s">
        <v>609</v>
      </c>
      <c r="I578" t="s">
        <v>581</v>
      </c>
      <c r="J578">
        <v>0.112791041</v>
      </c>
      <c r="K578">
        <v>415000</v>
      </c>
      <c r="L578">
        <v>1365027.56</v>
      </c>
      <c r="M578">
        <v>153317.22</v>
      </c>
      <c r="N578">
        <v>2.37</v>
      </c>
      <c r="O578">
        <v>983550</v>
      </c>
      <c r="P578">
        <v>110935.63</v>
      </c>
      <c r="Q578">
        <v>0</v>
      </c>
      <c r="R578">
        <v>0</v>
      </c>
      <c r="S578">
        <v>0.055</v>
      </c>
      <c r="T578" t="s">
        <v>25</v>
      </c>
    </row>
    <row r="579" spans="1:20" ht="15">
      <c r="A579" t="s">
        <v>19</v>
      </c>
      <c r="B579" t="s">
        <v>20</v>
      </c>
      <c r="C579" t="str">
        <f t="shared" si="9"/>
        <v>31-Dec-21</v>
      </c>
      <c r="D579" t="s">
        <v>21</v>
      </c>
      <c r="E579" t="s">
        <v>22</v>
      </c>
      <c r="F579" t="str">
        <f>"B8Z00N3"</f>
        <v>B8Z00N3</v>
      </c>
      <c r="G579" t="s">
        <v>610</v>
      </c>
      <c r="I579" t="s">
        <v>581</v>
      </c>
      <c r="J579">
        <v>0.112791041</v>
      </c>
      <c r="K579">
        <v>86290</v>
      </c>
      <c r="L579">
        <v>602544.4</v>
      </c>
      <c r="M579">
        <v>63242.06</v>
      </c>
      <c r="N579">
        <v>4.69</v>
      </c>
      <c r="O579">
        <v>404700.1</v>
      </c>
      <c r="P579">
        <v>45646.55</v>
      </c>
      <c r="Q579">
        <v>0</v>
      </c>
      <c r="R579">
        <v>0</v>
      </c>
      <c r="S579">
        <v>0.023</v>
      </c>
      <c r="T579" t="s">
        <v>25</v>
      </c>
    </row>
    <row r="580" spans="1:20" ht="15">
      <c r="A580" t="s">
        <v>19</v>
      </c>
      <c r="B580" t="s">
        <v>20</v>
      </c>
      <c r="C580" t="str">
        <f t="shared" si="9"/>
        <v>31-Dec-21</v>
      </c>
      <c r="D580" t="s">
        <v>21</v>
      </c>
      <c r="E580" t="s">
        <v>22</v>
      </c>
      <c r="F580" t="str">
        <f>"6196152"</f>
        <v>6196152</v>
      </c>
      <c r="G580" t="s">
        <v>611</v>
      </c>
      <c r="I580" t="s">
        <v>581</v>
      </c>
      <c r="J580">
        <v>0.112791041</v>
      </c>
      <c r="K580">
        <v>144000</v>
      </c>
      <c r="L580">
        <v>1773200.47</v>
      </c>
      <c r="M580">
        <v>190323.06</v>
      </c>
      <c r="N580">
        <v>7.7</v>
      </c>
      <c r="O580">
        <v>1108800</v>
      </c>
      <c r="P580">
        <v>125062.71</v>
      </c>
      <c r="Q580">
        <v>0</v>
      </c>
      <c r="R580">
        <v>0</v>
      </c>
      <c r="S580">
        <v>0.062</v>
      </c>
      <c r="T580" t="s">
        <v>25</v>
      </c>
    </row>
    <row r="581" spans="1:20" ht="15">
      <c r="A581" t="s">
        <v>19</v>
      </c>
      <c r="B581" t="s">
        <v>20</v>
      </c>
      <c r="C581" t="str">
        <f t="shared" si="9"/>
        <v>31-Dec-21</v>
      </c>
      <c r="D581" t="s">
        <v>21</v>
      </c>
      <c r="E581" t="s">
        <v>22</v>
      </c>
      <c r="F581" t="str">
        <f>"B6SPB49"</f>
        <v>B6SPB49</v>
      </c>
      <c r="G581" t="s">
        <v>612</v>
      </c>
      <c r="I581" t="s">
        <v>581</v>
      </c>
      <c r="J581">
        <v>0.112791041</v>
      </c>
      <c r="K581">
        <v>76000</v>
      </c>
      <c r="L581">
        <v>1628715.98</v>
      </c>
      <c r="M581">
        <v>180675.05</v>
      </c>
      <c r="N581">
        <v>20.35</v>
      </c>
      <c r="O581">
        <v>1546600</v>
      </c>
      <c r="P581">
        <v>174442.62</v>
      </c>
      <c r="Q581">
        <v>0</v>
      </c>
      <c r="R581">
        <v>0</v>
      </c>
      <c r="S581">
        <v>0.086</v>
      </c>
      <c r="T581" t="s">
        <v>25</v>
      </c>
    </row>
    <row r="582" spans="1:20" ht="15">
      <c r="A582" t="s">
        <v>19</v>
      </c>
      <c r="B582" t="s">
        <v>20</v>
      </c>
      <c r="C582" t="str">
        <f t="shared" si="9"/>
        <v>31-Dec-21</v>
      </c>
      <c r="D582" t="s">
        <v>21</v>
      </c>
      <c r="E582" t="s">
        <v>22</v>
      </c>
      <c r="F582" t="str">
        <f>"B018L76"</f>
        <v>B018L76</v>
      </c>
      <c r="G582" t="s">
        <v>613</v>
      </c>
      <c r="I582" t="s">
        <v>581</v>
      </c>
      <c r="J582">
        <v>0.112791041</v>
      </c>
      <c r="K582">
        <v>242000</v>
      </c>
      <c r="L582">
        <v>221261.99</v>
      </c>
      <c r="M582">
        <v>25017.31</v>
      </c>
      <c r="N582">
        <v>1.42</v>
      </c>
      <c r="O582">
        <v>343640</v>
      </c>
      <c r="P582">
        <v>38759.51</v>
      </c>
      <c r="Q582">
        <v>0</v>
      </c>
      <c r="R582">
        <v>0</v>
      </c>
      <c r="S582">
        <v>0.019</v>
      </c>
      <c r="T582" t="s">
        <v>25</v>
      </c>
    </row>
    <row r="583" spans="1:20" ht="15">
      <c r="A583" t="s">
        <v>19</v>
      </c>
      <c r="B583" t="s">
        <v>20</v>
      </c>
      <c r="C583" t="str">
        <f t="shared" si="9"/>
        <v>31-Dec-21</v>
      </c>
      <c r="D583" t="s">
        <v>21</v>
      </c>
      <c r="E583" t="s">
        <v>22</v>
      </c>
      <c r="F583" t="str">
        <f>"6782045"</f>
        <v>6782045</v>
      </c>
      <c r="G583" t="s">
        <v>614</v>
      </c>
      <c r="I583" t="s">
        <v>581</v>
      </c>
      <c r="J583">
        <v>0.112791041</v>
      </c>
      <c r="K583">
        <v>52000</v>
      </c>
      <c r="L583">
        <v>255000.21</v>
      </c>
      <c r="M583">
        <v>24186.93</v>
      </c>
      <c r="N583">
        <v>2.97</v>
      </c>
      <c r="O583">
        <v>154440</v>
      </c>
      <c r="P583">
        <v>17419.45</v>
      </c>
      <c r="Q583">
        <v>0</v>
      </c>
      <c r="R583">
        <v>0</v>
      </c>
      <c r="S583">
        <v>0.009</v>
      </c>
      <c r="T583" t="s">
        <v>25</v>
      </c>
    </row>
    <row r="584" spans="1:20" ht="15">
      <c r="A584" t="s">
        <v>19</v>
      </c>
      <c r="B584" t="s">
        <v>20</v>
      </c>
      <c r="C584" t="str">
        <f t="shared" si="9"/>
        <v>31-Dec-21</v>
      </c>
      <c r="D584" t="s">
        <v>21</v>
      </c>
      <c r="E584" t="s">
        <v>22</v>
      </c>
      <c r="F584" t="str">
        <f>"B0B8Z18"</f>
        <v>B0B8Z18</v>
      </c>
      <c r="G584" t="s">
        <v>615</v>
      </c>
      <c r="I584" t="s">
        <v>581</v>
      </c>
      <c r="J584">
        <v>0.112791041</v>
      </c>
      <c r="K584">
        <v>117400</v>
      </c>
      <c r="L584">
        <v>369896.5</v>
      </c>
      <c r="M584">
        <v>38370.74</v>
      </c>
      <c r="N584">
        <v>15.12</v>
      </c>
      <c r="O584">
        <v>1775088</v>
      </c>
      <c r="P584">
        <v>200214.02</v>
      </c>
      <c r="Q584">
        <v>0</v>
      </c>
      <c r="R584">
        <v>0</v>
      </c>
      <c r="S584">
        <v>0.099</v>
      </c>
      <c r="T584" t="s">
        <v>25</v>
      </c>
    </row>
    <row r="585" spans="1:20" ht="15">
      <c r="A585" t="s">
        <v>19</v>
      </c>
      <c r="B585" t="s">
        <v>20</v>
      </c>
      <c r="C585" t="str">
        <f t="shared" si="9"/>
        <v>31-Dec-21</v>
      </c>
      <c r="D585" t="s">
        <v>21</v>
      </c>
      <c r="E585" t="s">
        <v>22</v>
      </c>
      <c r="F585" t="str">
        <f>"6354251"</f>
        <v>6354251</v>
      </c>
      <c r="G585" t="s">
        <v>616</v>
      </c>
      <c r="I585" t="s">
        <v>581</v>
      </c>
      <c r="J585">
        <v>0.112791041</v>
      </c>
      <c r="K585">
        <v>79391</v>
      </c>
      <c r="L585">
        <v>709946.29</v>
      </c>
      <c r="M585">
        <v>77030.49</v>
      </c>
      <c r="N585">
        <v>6.77</v>
      </c>
      <c r="O585">
        <v>537477.07</v>
      </c>
      <c r="P585">
        <v>60622.6</v>
      </c>
      <c r="Q585">
        <v>0</v>
      </c>
      <c r="R585">
        <v>0</v>
      </c>
      <c r="S585">
        <v>0.03</v>
      </c>
      <c r="T585" t="s">
        <v>25</v>
      </c>
    </row>
    <row r="586" spans="1:20" ht="15">
      <c r="A586" t="s">
        <v>19</v>
      </c>
      <c r="B586" t="s">
        <v>20</v>
      </c>
      <c r="C586" t="str">
        <f t="shared" si="9"/>
        <v>31-Dec-21</v>
      </c>
      <c r="D586" t="s">
        <v>21</v>
      </c>
      <c r="E586" t="s">
        <v>22</v>
      </c>
      <c r="F586" t="str">
        <f>"B2R2ZC9"</f>
        <v>B2R2ZC9</v>
      </c>
      <c r="G586" t="s">
        <v>617</v>
      </c>
      <c r="I586" t="s">
        <v>581</v>
      </c>
      <c r="J586">
        <v>0.112791041</v>
      </c>
      <c r="K586">
        <v>74000</v>
      </c>
      <c r="L586">
        <v>274890.8</v>
      </c>
      <c r="M586">
        <v>29866.67</v>
      </c>
      <c r="N586">
        <v>3.35</v>
      </c>
      <c r="O586">
        <v>247900</v>
      </c>
      <c r="P586">
        <v>27960.9</v>
      </c>
      <c r="Q586">
        <v>0</v>
      </c>
      <c r="R586">
        <v>0</v>
      </c>
      <c r="S586">
        <v>0.014</v>
      </c>
      <c r="T586" t="s">
        <v>25</v>
      </c>
    </row>
    <row r="587" spans="1:20" ht="15">
      <c r="A587" t="s">
        <v>19</v>
      </c>
      <c r="B587" t="s">
        <v>20</v>
      </c>
      <c r="C587" t="str">
        <f t="shared" si="9"/>
        <v>31-Dec-21</v>
      </c>
      <c r="D587" t="s">
        <v>21</v>
      </c>
      <c r="E587" t="s">
        <v>22</v>
      </c>
      <c r="F587" t="str">
        <f>"BDFF8H3"</f>
        <v>BDFF8H3</v>
      </c>
      <c r="G587" t="s">
        <v>618</v>
      </c>
      <c r="I587" t="s">
        <v>581</v>
      </c>
      <c r="J587">
        <v>0.112791041</v>
      </c>
      <c r="K587">
        <v>33500</v>
      </c>
      <c r="L587">
        <v>221554.22</v>
      </c>
      <c r="M587">
        <v>24327.74</v>
      </c>
      <c r="N587">
        <v>8.53</v>
      </c>
      <c r="O587">
        <v>285755</v>
      </c>
      <c r="P587">
        <v>32230.6</v>
      </c>
      <c r="Q587">
        <v>0</v>
      </c>
      <c r="R587">
        <v>0</v>
      </c>
      <c r="S587">
        <v>0.016</v>
      </c>
      <c r="T587" t="s">
        <v>25</v>
      </c>
    </row>
    <row r="588" spans="1:20" ht="15">
      <c r="A588" t="s">
        <v>19</v>
      </c>
      <c r="B588" t="s">
        <v>20</v>
      </c>
      <c r="C588" t="str">
        <f t="shared" si="9"/>
        <v>31-Dec-21</v>
      </c>
      <c r="D588" t="s">
        <v>21</v>
      </c>
      <c r="E588" t="s">
        <v>22</v>
      </c>
      <c r="F588" t="str">
        <f>"6196174"</f>
        <v>6196174</v>
      </c>
      <c r="G588" t="s">
        <v>619</v>
      </c>
      <c r="I588" t="s">
        <v>581</v>
      </c>
      <c r="J588">
        <v>0.112791041</v>
      </c>
      <c r="K588">
        <v>80157</v>
      </c>
      <c r="L588">
        <v>440239.31</v>
      </c>
      <c r="M588">
        <v>48446.35</v>
      </c>
      <c r="N588">
        <v>3.33</v>
      </c>
      <c r="O588">
        <v>266922.81</v>
      </c>
      <c r="P588">
        <v>30106.5</v>
      </c>
      <c r="Q588">
        <v>0</v>
      </c>
      <c r="R588">
        <v>0</v>
      </c>
      <c r="S588">
        <v>0.015</v>
      </c>
      <c r="T588" t="s">
        <v>25</v>
      </c>
    </row>
    <row r="589" spans="1:20" ht="15">
      <c r="A589" t="s">
        <v>19</v>
      </c>
      <c r="B589" t="s">
        <v>20</v>
      </c>
      <c r="C589" t="str">
        <f t="shared" si="9"/>
        <v>31-Dec-21</v>
      </c>
      <c r="D589" t="s">
        <v>21</v>
      </c>
      <c r="E589" t="s">
        <v>22</v>
      </c>
      <c r="F589" t="str">
        <f>"6191997"</f>
        <v>6191997</v>
      </c>
      <c r="G589" t="s">
        <v>620</v>
      </c>
      <c r="I589" t="s">
        <v>581</v>
      </c>
      <c r="J589">
        <v>0.112791041</v>
      </c>
      <c r="K589">
        <v>277680</v>
      </c>
      <c r="L589">
        <v>1551718.19</v>
      </c>
      <c r="M589">
        <v>170000.64</v>
      </c>
      <c r="N589">
        <v>8.47</v>
      </c>
      <c r="O589">
        <v>2351949.6</v>
      </c>
      <c r="P589">
        <v>265278.84</v>
      </c>
      <c r="Q589">
        <v>0</v>
      </c>
      <c r="R589">
        <v>0</v>
      </c>
      <c r="S589">
        <v>0.132</v>
      </c>
      <c r="T589" t="s">
        <v>25</v>
      </c>
    </row>
    <row r="590" spans="1:20" ht="15">
      <c r="A590" t="s">
        <v>19</v>
      </c>
      <c r="B590" t="s">
        <v>20</v>
      </c>
      <c r="C590" t="str">
        <f t="shared" si="9"/>
        <v>31-Dec-21</v>
      </c>
      <c r="D590" t="s">
        <v>21</v>
      </c>
      <c r="E590" t="s">
        <v>22</v>
      </c>
      <c r="F590" t="str">
        <f>"BJKDJS2"</f>
        <v>BJKDJS2</v>
      </c>
      <c r="G590" t="s">
        <v>621</v>
      </c>
      <c r="I590" t="s">
        <v>581</v>
      </c>
      <c r="J590">
        <v>0.112791041</v>
      </c>
      <c r="K590">
        <v>3000</v>
      </c>
      <c r="L590">
        <v>499108.18</v>
      </c>
      <c r="M590">
        <v>54481.19</v>
      </c>
      <c r="N590">
        <v>180.2</v>
      </c>
      <c r="O590">
        <v>540600</v>
      </c>
      <c r="P590">
        <v>60974.84</v>
      </c>
      <c r="Q590">
        <v>0</v>
      </c>
      <c r="R590">
        <v>0</v>
      </c>
      <c r="S590">
        <v>0.03</v>
      </c>
      <c r="T590" t="s">
        <v>25</v>
      </c>
    </row>
    <row r="591" spans="1:20" ht="15">
      <c r="A591" t="s">
        <v>19</v>
      </c>
      <c r="B591" t="s">
        <v>20</v>
      </c>
      <c r="C591" t="str">
        <f t="shared" si="9"/>
        <v>31-Dec-21</v>
      </c>
      <c r="D591" t="s">
        <v>21</v>
      </c>
      <c r="E591" t="s">
        <v>22</v>
      </c>
      <c r="F591" t="str">
        <f>"BNB33V0"</f>
        <v>BNB33V0</v>
      </c>
      <c r="G591" t="s">
        <v>622</v>
      </c>
      <c r="I591" t="s">
        <v>581</v>
      </c>
      <c r="J591">
        <v>0.112791041</v>
      </c>
      <c r="K591">
        <v>78000</v>
      </c>
      <c r="L591">
        <v>291465.93</v>
      </c>
      <c r="M591">
        <v>31542.6</v>
      </c>
      <c r="N591">
        <v>1.4</v>
      </c>
      <c r="O591">
        <v>109200</v>
      </c>
      <c r="P591">
        <v>12316.78</v>
      </c>
      <c r="Q591">
        <v>0</v>
      </c>
      <c r="R591">
        <v>0</v>
      </c>
      <c r="S591">
        <v>0.006</v>
      </c>
      <c r="T591" t="s">
        <v>25</v>
      </c>
    </row>
    <row r="592" spans="1:20" ht="15">
      <c r="A592" t="s">
        <v>19</v>
      </c>
      <c r="B592" t="s">
        <v>20</v>
      </c>
      <c r="C592" t="str">
        <f t="shared" si="9"/>
        <v>31-Dec-21</v>
      </c>
      <c r="D592" t="s">
        <v>21</v>
      </c>
      <c r="E592" t="s">
        <v>22</v>
      </c>
      <c r="F592" t="str">
        <f>"B1W0JF2"</f>
        <v>B1W0JF2</v>
      </c>
      <c r="G592" t="s">
        <v>623</v>
      </c>
      <c r="I592" t="s">
        <v>581</v>
      </c>
      <c r="J592">
        <v>0.112791041</v>
      </c>
      <c r="K592">
        <v>309000</v>
      </c>
      <c r="L592">
        <v>1421605.4</v>
      </c>
      <c r="M592">
        <v>151197.75</v>
      </c>
      <c r="N592">
        <v>3.38</v>
      </c>
      <c r="O592">
        <v>1044420</v>
      </c>
      <c r="P592">
        <v>117801.22</v>
      </c>
      <c r="Q592">
        <v>0</v>
      </c>
      <c r="R592">
        <v>0</v>
      </c>
      <c r="S592">
        <v>0.058</v>
      </c>
      <c r="T592" t="s">
        <v>25</v>
      </c>
    </row>
    <row r="593" spans="1:20" ht="15">
      <c r="A593" t="s">
        <v>19</v>
      </c>
      <c r="B593" t="s">
        <v>20</v>
      </c>
      <c r="C593" t="str">
        <f t="shared" si="9"/>
        <v>31-Dec-21</v>
      </c>
      <c r="D593" t="s">
        <v>21</v>
      </c>
      <c r="E593" t="s">
        <v>22</v>
      </c>
      <c r="F593" t="str">
        <f>"BGY6SV2"</f>
        <v>BGY6SV2</v>
      </c>
      <c r="G593" t="s">
        <v>624</v>
      </c>
      <c r="I593" t="s">
        <v>581</v>
      </c>
      <c r="J593">
        <v>0.112791041</v>
      </c>
      <c r="K593">
        <v>196000</v>
      </c>
      <c r="L593">
        <v>598449.88</v>
      </c>
      <c r="M593">
        <v>65437.95</v>
      </c>
      <c r="N593">
        <v>1.42</v>
      </c>
      <c r="O593">
        <v>278320</v>
      </c>
      <c r="P593">
        <v>31392</v>
      </c>
      <c r="Q593">
        <v>0</v>
      </c>
      <c r="R593">
        <v>0</v>
      </c>
      <c r="S593">
        <v>0.016</v>
      </c>
      <c r="T593" t="s">
        <v>25</v>
      </c>
    </row>
    <row r="594" spans="1:20" ht="15">
      <c r="A594" t="s">
        <v>19</v>
      </c>
      <c r="B594" t="s">
        <v>20</v>
      </c>
      <c r="C594" t="str">
        <f t="shared" si="9"/>
        <v>31-Dec-21</v>
      </c>
      <c r="D594" t="s">
        <v>21</v>
      </c>
      <c r="E594" t="s">
        <v>22</v>
      </c>
      <c r="F594" t="str">
        <f>"B1JNK84"</f>
        <v>B1JNK84</v>
      </c>
      <c r="G594" t="s">
        <v>625</v>
      </c>
      <c r="I594" t="s">
        <v>581</v>
      </c>
      <c r="J594">
        <v>0.112791041</v>
      </c>
      <c r="K594">
        <v>87000</v>
      </c>
      <c r="L594">
        <v>408258.18</v>
      </c>
      <c r="M594">
        <v>42576.27</v>
      </c>
      <c r="N594">
        <v>4.5</v>
      </c>
      <c r="O594">
        <v>391500</v>
      </c>
      <c r="P594">
        <v>44157.69</v>
      </c>
      <c r="Q594">
        <v>0</v>
      </c>
      <c r="R594">
        <v>0</v>
      </c>
      <c r="S594">
        <v>0.022</v>
      </c>
      <c r="T594" t="s">
        <v>25</v>
      </c>
    </row>
    <row r="595" spans="1:20" ht="15">
      <c r="A595" t="s">
        <v>19</v>
      </c>
      <c r="B595" t="s">
        <v>20</v>
      </c>
      <c r="C595" t="str">
        <f t="shared" si="9"/>
        <v>31-Dec-21</v>
      </c>
      <c r="D595" t="s">
        <v>21</v>
      </c>
      <c r="E595" t="s">
        <v>22</v>
      </c>
      <c r="F595" t="str">
        <f>"B1HVJ16"</f>
        <v>B1HVJ16</v>
      </c>
      <c r="G595" t="s">
        <v>626</v>
      </c>
      <c r="I595" t="s">
        <v>581</v>
      </c>
      <c r="J595">
        <v>0.112791041</v>
      </c>
      <c r="K595">
        <v>80000</v>
      </c>
      <c r="L595">
        <v>393046.05</v>
      </c>
      <c r="M595">
        <v>41018.93</v>
      </c>
      <c r="N595">
        <v>3.8</v>
      </c>
      <c r="O595">
        <v>304000</v>
      </c>
      <c r="P595">
        <v>34288.48</v>
      </c>
      <c r="Q595">
        <v>0</v>
      </c>
      <c r="R595">
        <v>0</v>
      </c>
      <c r="S595">
        <v>0.017</v>
      </c>
      <c r="T595" t="s">
        <v>25</v>
      </c>
    </row>
    <row r="596" spans="1:20" ht="15">
      <c r="A596" t="s">
        <v>19</v>
      </c>
      <c r="B596" t="s">
        <v>20</v>
      </c>
      <c r="C596" t="str">
        <f t="shared" si="9"/>
        <v>31-Dec-21</v>
      </c>
      <c r="D596" t="s">
        <v>21</v>
      </c>
      <c r="E596" t="s">
        <v>22</v>
      </c>
      <c r="F596" t="str">
        <f>"BH7HM06"</f>
        <v>BH7HM06</v>
      </c>
      <c r="G596" t="s">
        <v>627</v>
      </c>
      <c r="I596" t="s">
        <v>581</v>
      </c>
      <c r="J596">
        <v>0.112791041</v>
      </c>
      <c r="K596">
        <v>48500</v>
      </c>
      <c r="L596">
        <v>1041564.29</v>
      </c>
      <c r="M596">
        <v>114749.07</v>
      </c>
      <c r="N596">
        <v>38.1</v>
      </c>
      <c r="O596">
        <v>1847850</v>
      </c>
      <c r="P596">
        <v>208420.93</v>
      </c>
      <c r="Q596">
        <v>0</v>
      </c>
      <c r="R596">
        <v>0</v>
      </c>
      <c r="S596">
        <v>0.103</v>
      </c>
      <c r="T596" t="s">
        <v>25</v>
      </c>
    </row>
    <row r="597" spans="1:20" ht="15">
      <c r="A597" t="s">
        <v>19</v>
      </c>
      <c r="B597" t="s">
        <v>20</v>
      </c>
      <c r="C597" t="str">
        <f t="shared" si="9"/>
        <v>31-Dec-21</v>
      </c>
      <c r="D597" t="s">
        <v>21</v>
      </c>
      <c r="E597" t="s">
        <v>22</v>
      </c>
      <c r="F597" t="str">
        <f>"B0LMTQ3"</f>
        <v>B0LMTQ3</v>
      </c>
      <c r="G597" t="s">
        <v>628</v>
      </c>
      <c r="I597" t="s">
        <v>581</v>
      </c>
      <c r="J597">
        <v>0.112791041</v>
      </c>
      <c r="K597">
        <v>3037000</v>
      </c>
      <c r="L597">
        <v>19295919.95</v>
      </c>
      <c r="M597">
        <v>2107893.13</v>
      </c>
      <c r="N597">
        <v>5.4</v>
      </c>
      <c r="O597">
        <v>16399800</v>
      </c>
      <c r="P597">
        <v>1849750.52</v>
      </c>
      <c r="Q597">
        <v>0</v>
      </c>
      <c r="R597">
        <v>0</v>
      </c>
      <c r="S597">
        <v>0.917</v>
      </c>
      <c r="T597" t="s">
        <v>25</v>
      </c>
    </row>
    <row r="598" spans="1:20" ht="15">
      <c r="A598" t="s">
        <v>19</v>
      </c>
      <c r="B598" t="s">
        <v>20</v>
      </c>
      <c r="C598" t="str">
        <f t="shared" si="9"/>
        <v>31-Dec-21</v>
      </c>
      <c r="D598" t="s">
        <v>21</v>
      </c>
      <c r="E598" t="s">
        <v>22</v>
      </c>
      <c r="F598" t="str">
        <f>"BJGSS62"</f>
        <v>BJGSS62</v>
      </c>
      <c r="G598" t="s">
        <v>629</v>
      </c>
      <c r="I598" t="s">
        <v>581</v>
      </c>
      <c r="J598">
        <v>0.112791041</v>
      </c>
      <c r="K598">
        <v>16000</v>
      </c>
      <c r="L598">
        <v>260979.69</v>
      </c>
      <c r="M598">
        <v>30090.71</v>
      </c>
      <c r="N598">
        <v>4.88</v>
      </c>
      <c r="O598">
        <v>78080</v>
      </c>
      <c r="P598">
        <v>8806.72</v>
      </c>
      <c r="Q598">
        <v>0</v>
      </c>
      <c r="R598">
        <v>0</v>
      </c>
      <c r="S598">
        <v>0.004</v>
      </c>
      <c r="T598" t="s">
        <v>25</v>
      </c>
    </row>
    <row r="599" spans="1:20" ht="15">
      <c r="A599" t="s">
        <v>19</v>
      </c>
      <c r="B599" t="s">
        <v>20</v>
      </c>
      <c r="C599" t="str">
        <f t="shared" si="9"/>
        <v>31-Dec-21</v>
      </c>
      <c r="D599" t="s">
        <v>21</v>
      </c>
      <c r="E599" t="s">
        <v>22</v>
      </c>
      <c r="F599" t="str">
        <f>"B5NRRJ0"</f>
        <v>B5NRRJ0</v>
      </c>
      <c r="G599" t="s">
        <v>630</v>
      </c>
      <c r="I599" t="s">
        <v>581</v>
      </c>
      <c r="J599">
        <v>0.112791041</v>
      </c>
      <c r="K599">
        <v>122000</v>
      </c>
      <c r="L599">
        <v>498081.49</v>
      </c>
      <c r="M599">
        <v>53054.26</v>
      </c>
      <c r="N599">
        <v>2.76</v>
      </c>
      <c r="O599">
        <v>336720</v>
      </c>
      <c r="P599">
        <v>37979</v>
      </c>
      <c r="Q599">
        <v>0</v>
      </c>
      <c r="R599">
        <v>0</v>
      </c>
      <c r="S599">
        <v>0.019</v>
      </c>
      <c r="T599" t="s">
        <v>25</v>
      </c>
    </row>
    <row r="600" spans="1:20" ht="15">
      <c r="A600" t="s">
        <v>19</v>
      </c>
      <c r="B600" t="s">
        <v>20</v>
      </c>
      <c r="C600" t="str">
        <f t="shared" si="9"/>
        <v>31-Dec-21</v>
      </c>
      <c r="D600" t="s">
        <v>21</v>
      </c>
      <c r="E600" t="s">
        <v>22</v>
      </c>
      <c r="F600" t="str">
        <f>"6630940"</f>
        <v>6630940</v>
      </c>
      <c r="G600" t="s">
        <v>631</v>
      </c>
      <c r="I600" t="s">
        <v>581</v>
      </c>
      <c r="J600">
        <v>0.112791041</v>
      </c>
      <c r="K600">
        <v>141925</v>
      </c>
      <c r="L600">
        <v>1269229.45</v>
      </c>
      <c r="M600">
        <v>136169.74</v>
      </c>
      <c r="N600">
        <v>6.26</v>
      </c>
      <c r="O600">
        <v>888450.5</v>
      </c>
      <c r="P600">
        <v>100209.26</v>
      </c>
      <c r="Q600">
        <v>0</v>
      </c>
      <c r="R600">
        <v>0</v>
      </c>
      <c r="S600">
        <v>0.05</v>
      </c>
      <c r="T600" t="s">
        <v>25</v>
      </c>
    </row>
    <row r="601" spans="1:20" ht="15">
      <c r="A601" t="s">
        <v>19</v>
      </c>
      <c r="B601" t="s">
        <v>20</v>
      </c>
      <c r="C601" t="str">
        <f t="shared" si="9"/>
        <v>31-Dec-21</v>
      </c>
      <c r="D601" t="s">
        <v>21</v>
      </c>
      <c r="E601" t="s">
        <v>22</v>
      </c>
      <c r="F601" t="str">
        <f>"6455143"</f>
        <v>6455143</v>
      </c>
      <c r="G601" t="s">
        <v>632</v>
      </c>
      <c r="I601" t="s">
        <v>581</v>
      </c>
      <c r="J601">
        <v>0.112791041</v>
      </c>
      <c r="K601">
        <v>32000</v>
      </c>
      <c r="L601">
        <v>456249.98</v>
      </c>
      <c r="M601">
        <v>47385.6</v>
      </c>
      <c r="N601">
        <v>9.32</v>
      </c>
      <c r="O601">
        <v>298240</v>
      </c>
      <c r="P601">
        <v>33638.8</v>
      </c>
      <c r="Q601">
        <v>0</v>
      </c>
      <c r="R601">
        <v>0</v>
      </c>
      <c r="S601">
        <v>0.017</v>
      </c>
      <c r="T601" t="s">
        <v>25</v>
      </c>
    </row>
    <row r="602" spans="1:20" ht="15">
      <c r="A602" t="s">
        <v>19</v>
      </c>
      <c r="B602" t="s">
        <v>20</v>
      </c>
      <c r="C602" t="str">
        <f t="shared" si="9"/>
        <v>31-Dec-21</v>
      </c>
      <c r="D602" t="s">
        <v>21</v>
      </c>
      <c r="E602" t="s">
        <v>22</v>
      </c>
      <c r="F602" t="str">
        <f>"BD3DS68"</f>
        <v>BD3DS68</v>
      </c>
      <c r="G602" t="s">
        <v>633</v>
      </c>
      <c r="I602" t="s">
        <v>581</v>
      </c>
      <c r="J602">
        <v>0.112791041</v>
      </c>
      <c r="K602">
        <v>26000</v>
      </c>
      <c r="L602">
        <v>271928.73</v>
      </c>
      <c r="M602">
        <v>29838.84</v>
      </c>
      <c r="N602">
        <v>1.59</v>
      </c>
      <c r="O602">
        <v>41340</v>
      </c>
      <c r="P602">
        <v>4662.78</v>
      </c>
      <c r="Q602">
        <v>0</v>
      </c>
      <c r="R602">
        <v>0</v>
      </c>
      <c r="S602">
        <v>0.002</v>
      </c>
      <c r="T602" t="s">
        <v>25</v>
      </c>
    </row>
    <row r="603" spans="1:20" ht="15">
      <c r="A603" t="s">
        <v>19</v>
      </c>
      <c r="B603" t="s">
        <v>20</v>
      </c>
      <c r="C603" t="str">
        <f t="shared" si="9"/>
        <v>31-Dec-21</v>
      </c>
      <c r="D603" t="s">
        <v>21</v>
      </c>
      <c r="E603" t="s">
        <v>22</v>
      </c>
      <c r="F603" t="str">
        <f>"BK0SBL1"</f>
        <v>BK0SBL1</v>
      </c>
      <c r="G603" t="s">
        <v>634</v>
      </c>
      <c r="I603" t="s">
        <v>581</v>
      </c>
      <c r="J603">
        <v>0.112791041</v>
      </c>
      <c r="K603">
        <v>87000</v>
      </c>
      <c r="L603">
        <v>1504493.38</v>
      </c>
      <c r="M603">
        <v>168311.6</v>
      </c>
      <c r="N603">
        <v>10.46</v>
      </c>
      <c r="O603">
        <v>910020</v>
      </c>
      <c r="P603">
        <v>102642.1</v>
      </c>
      <c r="Q603">
        <v>0</v>
      </c>
      <c r="R603">
        <v>0</v>
      </c>
      <c r="S603">
        <v>0.051</v>
      </c>
      <c r="T603" t="s">
        <v>25</v>
      </c>
    </row>
    <row r="604" spans="1:20" ht="15">
      <c r="A604" t="s">
        <v>19</v>
      </c>
      <c r="B604" t="s">
        <v>20</v>
      </c>
      <c r="C604" t="str">
        <f t="shared" si="9"/>
        <v>31-Dec-21</v>
      </c>
      <c r="D604" t="s">
        <v>21</v>
      </c>
      <c r="E604" t="s">
        <v>22</v>
      </c>
      <c r="F604" t="str">
        <f>"B92NYF2"</f>
        <v>B92NYF2</v>
      </c>
      <c r="G604" t="s">
        <v>635</v>
      </c>
      <c r="I604" t="s">
        <v>581</v>
      </c>
      <c r="J604">
        <v>0.112791041</v>
      </c>
      <c r="K604">
        <v>92593</v>
      </c>
      <c r="L604">
        <v>856700.89</v>
      </c>
      <c r="M604">
        <v>95382.19</v>
      </c>
      <c r="N604">
        <v>4.48</v>
      </c>
      <c r="O604">
        <v>414816.64</v>
      </c>
      <c r="P604">
        <v>46787.6</v>
      </c>
      <c r="Q604">
        <v>0</v>
      </c>
      <c r="R604">
        <v>0</v>
      </c>
      <c r="S604">
        <v>0.023</v>
      </c>
      <c r="T604" t="s">
        <v>25</v>
      </c>
    </row>
    <row r="605" spans="1:20" ht="15">
      <c r="A605" t="s">
        <v>19</v>
      </c>
      <c r="B605" t="s">
        <v>20</v>
      </c>
      <c r="C605" t="str">
        <f t="shared" si="9"/>
        <v>31-Dec-21</v>
      </c>
      <c r="D605" t="s">
        <v>21</v>
      </c>
      <c r="E605" t="s">
        <v>22</v>
      </c>
      <c r="F605" t="str">
        <f>"6460794"</f>
        <v>6460794</v>
      </c>
      <c r="G605" t="s">
        <v>636</v>
      </c>
      <c r="I605" t="s">
        <v>581</v>
      </c>
      <c r="J605">
        <v>0.112791041</v>
      </c>
      <c r="K605">
        <v>100200</v>
      </c>
      <c r="L605">
        <v>2074633.78</v>
      </c>
      <c r="M605">
        <v>227978.12</v>
      </c>
      <c r="N605">
        <v>16.2</v>
      </c>
      <c r="O605">
        <v>1623240</v>
      </c>
      <c r="P605">
        <v>183086.93</v>
      </c>
      <c r="Q605">
        <v>0</v>
      </c>
      <c r="R605">
        <v>0</v>
      </c>
      <c r="S605">
        <v>0.091</v>
      </c>
      <c r="T605" t="s">
        <v>25</v>
      </c>
    </row>
    <row r="606" spans="1:20" ht="15">
      <c r="A606" t="s">
        <v>19</v>
      </c>
      <c r="B606" t="s">
        <v>20</v>
      </c>
      <c r="C606" t="str">
        <f t="shared" si="9"/>
        <v>31-Dec-21</v>
      </c>
      <c r="D606" t="s">
        <v>21</v>
      </c>
      <c r="E606" t="s">
        <v>22</v>
      </c>
      <c r="F606" t="str">
        <f>"B44ZV94"</f>
        <v>B44ZV94</v>
      </c>
      <c r="G606" t="s">
        <v>637</v>
      </c>
      <c r="I606" t="s">
        <v>581</v>
      </c>
      <c r="J606">
        <v>0.112791041</v>
      </c>
      <c r="K606">
        <v>76000</v>
      </c>
      <c r="L606">
        <v>428482.39</v>
      </c>
      <c r="M606">
        <v>48157.28</v>
      </c>
      <c r="N606">
        <v>8.23</v>
      </c>
      <c r="O606">
        <v>625480</v>
      </c>
      <c r="P606">
        <v>70548.54</v>
      </c>
      <c r="Q606">
        <v>0</v>
      </c>
      <c r="R606">
        <v>0</v>
      </c>
      <c r="S606">
        <v>0.035</v>
      </c>
      <c r="T606" t="s">
        <v>25</v>
      </c>
    </row>
    <row r="607" spans="1:20" ht="15">
      <c r="A607" t="s">
        <v>19</v>
      </c>
      <c r="B607" t="s">
        <v>20</v>
      </c>
      <c r="C607" t="str">
        <f t="shared" si="9"/>
        <v>31-Dec-21</v>
      </c>
      <c r="D607" t="s">
        <v>21</v>
      </c>
      <c r="E607" t="s">
        <v>22</v>
      </c>
      <c r="F607" t="str">
        <f>"BYNK383"</f>
        <v>BYNK383</v>
      </c>
      <c r="G607" t="s">
        <v>638</v>
      </c>
      <c r="I607" t="s">
        <v>581</v>
      </c>
      <c r="J607">
        <v>0.112791041</v>
      </c>
      <c r="K607">
        <v>598000</v>
      </c>
      <c r="L607">
        <v>2009786.03</v>
      </c>
      <c r="M607">
        <v>224178.8</v>
      </c>
      <c r="N607">
        <v>0.51</v>
      </c>
      <c r="O607">
        <v>304980</v>
      </c>
      <c r="P607">
        <v>34399.01</v>
      </c>
      <c r="Q607">
        <v>0</v>
      </c>
      <c r="R607">
        <v>0</v>
      </c>
      <c r="S607">
        <v>0.017</v>
      </c>
      <c r="T607" t="s">
        <v>25</v>
      </c>
    </row>
    <row r="608" spans="1:20" ht="15">
      <c r="A608" t="s">
        <v>19</v>
      </c>
      <c r="B608" t="s">
        <v>20</v>
      </c>
      <c r="C608" t="str">
        <f t="shared" si="9"/>
        <v>31-Dec-21</v>
      </c>
      <c r="D608" t="s">
        <v>21</v>
      </c>
      <c r="E608" t="s">
        <v>22</v>
      </c>
      <c r="F608" t="str">
        <f>"9965ULL909"</f>
        <v>9965ULL909</v>
      </c>
      <c r="G608" t="s">
        <v>639</v>
      </c>
      <c r="I608" t="s">
        <v>581</v>
      </c>
      <c r="J608">
        <v>0.112791041</v>
      </c>
      <c r="K608">
        <v>280400</v>
      </c>
      <c r="L608">
        <v>736892.15</v>
      </c>
      <c r="M608">
        <v>75173.75</v>
      </c>
      <c r="N608">
        <v>0</v>
      </c>
      <c r="O608">
        <v>0.28</v>
      </c>
      <c r="P608">
        <v>0.03</v>
      </c>
      <c r="Q608">
        <v>0</v>
      </c>
      <c r="R608">
        <v>0</v>
      </c>
      <c r="S608">
        <v>0</v>
      </c>
      <c r="T608" t="s">
        <v>25</v>
      </c>
    </row>
    <row r="609" spans="1:20" ht="15">
      <c r="A609" t="s">
        <v>19</v>
      </c>
      <c r="B609" t="s">
        <v>20</v>
      </c>
      <c r="C609" t="str">
        <f t="shared" si="9"/>
        <v>31-Dec-21</v>
      </c>
      <c r="D609" t="s">
        <v>21</v>
      </c>
      <c r="E609" t="s">
        <v>22</v>
      </c>
      <c r="F609" t="str">
        <f>"BZ169C6"</f>
        <v>BZ169C6</v>
      </c>
      <c r="G609" t="s">
        <v>640</v>
      </c>
      <c r="I609" t="s">
        <v>581</v>
      </c>
      <c r="J609">
        <v>0.112791041</v>
      </c>
      <c r="K609">
        <v>58000</v>
      </c>
      <c r="L609">
        <v>932984.24</v>
      </c>
      <c r="M609">
        <v>100368.06</v>
      </c>
      <c r="N609">
        <v>21.5</v>
      </c>
      <c r="O609">
        <v>1247000</v>
      </c>
      <c r="P609">
        <v>140650.43</v>
      </c>
      <c r="Q609">
        <v>0</v>
      </c>
      <c r="R609">
        <v>0</v>
      </c>
      <c r="S609">
        <v>0.07</v>
      </c>
      <c r="T609" t="s">
        <v>25</v>
      </c>
    </row>
    <row r="610" spans="1:20" ht="15">
      <c r="A610" t="s">
        <v>19</v>
      </c>
      <c r="B610" t="s">
        <v>20</v>
      </c>
      <c r="C610" t="str">
        <f t="shared" si="9"/>
        <v>31-Dec-21</v>
      </c>
      <c r="D610" t="s">
        <v>21</v>
      </c>
      <c r="E610" t="s">
        <v>22</v>
      </c>
      <c r="F610" t="str">
        <f>"B87RSJ4"</f>
        <v>B87RSJ4</v>
      </c>
      <c r="G610" t="s">
        <v>641</v>
      </c>
      <c r="I610" t="s">
        <v>581</v>
      </c>
      <c r="J610">
        <v>0.112791041</v>
      </c>
      <c r="K610">
        <v>13840</v>
      </c>
      <c r="L610">
        <v>138369.7</v>
      </c>
      <c r="M610">
        <v>15129.04</v>
      </c>
      <c r="N610">
        <v>14.02</v>
      </c>
      <c r="O610">
        <v>194036.8</v>
      </c>
      <c r="P610">
        <v>21885.61</v>
      </c>
      <c r="Q610">
        <v>0</v>
      </c>
      <c r="R610">
        <v>0</v>
      </c>
      <c r="S610">
        <v>0.011</v>
      </c>
      <c r="T610" t="s">
        <v>25</v>
      </c>
    </row>
    <row r="611" spans="1:20" ht="15">
      <c r="A611" t="s">
        <v>19</v>
      </c>
      <c r="B611" t="s">
        <v>20</v>
      </c>
      <c r="C611" t="str">
        <f t="shared" si="9"/>
        <v>31-Dec-21</v>
      </c>
      <c r="D611" t="s">
        <v>21</v>
      </c>
      <c r="E611" t="s">
        <v>22</v>
      </c>
      <c r="F611" t="str">
        <f>"B23TGR6"</f>
        <v>B23TGR6</v>
      </c>
      <c r="G611" t="s">
        <v>642</v>
      </c>
      <c r="I611" t="s">
        <v>581</v>
      </c>
      <c r="J611">
        <v>0.112791041</v>
      </c>
      <c r="K611">
        <v>242000</v>
      </c>
      <c r="L611">
        <v>907879.2</v>
      </c>
      <c r="M611">
        <v>100751.94</v>
      </c>
      <c r="N611">
        <v>2.41</v>
      </c>
      <c r="O611">
        <v>583220</v>
      </c>
      <c r="P611">
        <v>65781.99</v>
      </c>
      <c r="Q611">
        <v>0</v>
      </c>
      <c r="R611">
        <v>0</v>
      </c>
      <c r="S611">
        <v>0.033</v>
      </c>
      <c r="T611" t="s">
        <v>25</v>
      </c>
    </row>
    <row r="612" spans="1:20" ht="15">
      <c r="A612" t="s">
        <v>19</v>
      </c>
      <c r="B612" t="s">
        <v>20</v>
      </c>
      <c r="C612" t="str">
        <f t="shared" si="9"/>
        <v>31-Dec-21</v>
      </c>
      <c r="D612" t="s">
        <v>21</v>
      </c>
      <c r="E612" t="s">
        <v>22</v>
      </c>
      <c r="F612" t="str">
        <f>"BCDBKF8"</f>
        <v>BCDBKF8</v>
      </c>
      <c r="G612" t="s">
        <v>643</v>
      </c>
      <c r="I612" t="s">
        <v>581</v>
      </c>
      <c r="J612">
        <v>0.112791041</v>
      </c>
      <c r="K612">
        <v>35000</v>
      </c>
      <c r="L612">
        <v>361275.88</v>
      </c>
      <c r="M612">
        <v>42436.78</v>
      </c>
      <c r="N612">
        <v>11.2</v>
      </c>
      <c r="O612">
        <v>392000</v>
      </c>
      <c r="P612">
        <v>44214.09</v>
      </c>
      <c r="Q612">
        <v>0</v>
      </c>
      <c r="R612">
        <v>0</v>
      </c>
      <c r="S612">
        <v>0.022</v>
      </c>
      <c r="T612" t="s">
        <v>25</v>
      </c>
    </row>
    <row r="613" spans="1:20" ht="15">
      <c r="A613" t="s">
        <v>19</v>
      </c>
      <c r="B613" t="s">
        <v>20</v>
      </c>
      <c r="C613" t="str">
        <f t="shared" si="9"/>
        <v>31-Dec-21</v>
      </c>
      <c r="D613" t="s">
        <v>21</v>
      </c>
      <c r="E613" t="s">
        <v>22</v>
      </c>
      <c r="F613" t="str">
        <f>"6718976"</f>
        <v>6718976</v>
      </c>
      <c r="G613" t="s">
        <v>644</v>
      </c>
      <c r="I613" t="s">
        <v>581</v>
      </c>
      <c r="J613">
        <v>0.112791041</v>
      </c>
      <c r="K613">
        <v>237000</v>
      </c>
      <c r="L613">
        <v>5521397.97</v>
      </c>
      <c r="M613">
        <v>597330.33</v>
      </c>
      <c r="N613">
        <v>12.92</v>
      </c>
      <c r="O613">
        <v>3062040</v>
      </c>
      <c r="P613">
        <v>345370.68</v>
      </c>
      <c r="Q613">
        <v>0</v>
      </c>
      <c r="R613">
        <v>0</v>
      </c>
      <c r="S613">
        <v>0.171</v>
      </c>
      <c r="T613" t="s">
        <v>25</v>
      </c>
    </row>
    <row r="614" spans="1:20" ht="15">
      <c r="A614" t="s">
        <v>19</v>
      </c>
      <c r="B614" t="s">
        <v>20</v>
      </c>
      <c r="C614" t="str">
        <f t="shared" si="9"/>
        <v>31-Dec-21</v>
      </c>
      <c r="D614" t="s">
        <v>21</v>
      </c>
      <c r="E614" t="s">
        <v>22</v>
      </c>
      <c r="F614" t="str">
        <f>"BYP71J9"</f>
        <v>BYP71J9</v>
      </c>
      <c r="G614" t="s">
        <v>645</v>
      </c>
      <c r="I614" t="s">
        <v>581</v>
      </c>
      <c r="J614">
        <v>0.112791041</v>
      </c>
      <c r="K614">
        <v>9000</v>
      </c>
      <c r="L614">
        <v>714708.12</v>
      </c>
      <c r="M614">
        <v>74135.52</v>
      </c>
      <c r="N614">
        <v>49</v>
      </c>
      <c r="O614">
        <v>441000</v>
      </c>
      <c r="P614">
        <v>49740.85</v>
      </c>
      <c r="Q614">
        <v>0</v>
      </c>
      <c r="R614">
        <v>0</v>
      </c>
      <c r="S614">
        <v>0.025</v>
      </c>
      <c r="T614" t="s">
        <v>25</v>
      </c>
    </row>
    <row r="615" spans="1:20" ht="15">
      <c r="A615" t="s">
        <v>19</v>
      </c>
      <c r="B615" t="s">
        <v>20</v>
      </c>
      <c r="C615" t="str">
        <f t="shared" si="9"/>
        <v>31-Dec-21</v>
      </c>
      <c r="D615" t="s">
        <v>21</v>
      </c>
      <c r="E615" t="s">
        <v>22</v>
      </c>
      <c r="F615" t="str">
        <f>"B4Q2TX3"</f>
        <v>B4Q2TX3</v>
      </c>
      <c r="G615" t="s">
        <v>646</v>
      </c>
      <c r="I615" t="s">
        <v>581</v>
      </c>
      <c r="J615">
        <v>0.112791041</v>
      </c>
      <c r="K615">
        <v>103000</v>
      </c>
      <c r="L615">
        <v>737774.26</v>
      </c>
      <c r="M615">
        <v>78596.91</v>
      </c>
      <c r="N615">
        <v>18.2</v>
      </c>
      <c r="O615">
        <v>1874600</v>
      </c>
      <c r="P615">
        <v>211438.09</v>
      </c>
      <c r="Q615">
        <v>0</v>
      </c>
      <c r="R615">
        <v>0</v>
      </c>
      <c r="S615">
        <v>0.105</v>
      </c>
      <c r="T615" t="s">
        <v>25</v>
      </c>
    </row>
    <row r="616" spans="1:20" ht="15">
      <c r="A616" t="s">
        <v>19</v>
      </c>
      <c r="B616" t="s">
        <v>20</v>
      </c>
      <c r="C616" t="str">
        <f t="shared" si="9"/>
        <v>31-Dec-21</v>
      </c>
      <c r="D616" t="s">
        <v>21</v>
      </c>
      <c r="E616" t="s">
        <v>22</v>
      </c>
      <c r="F616" t="str">
        <f>"B6WY993"</f>
        <v>B6WY993</v>
      </c>
      <c r="G616" t="s">
        <v>647</v>
      </c>
      <c r="I616" t="s">
        <v>581</v>
      </c>
      <c r="J616">
        <v>0.112791041</v>
      </c>
      <c r="K616">
        <v>48100</v>
      </c>
      <c r="L616">
        <v>586662.45</v>
      </c>
      <c r="M616">
        <v>69645.13</v>
      </c>
      <c r="N616">
        <v>13.02</v>
      </c>
      <c r="O616">
        <v>626262</v>
      </c>
      <c r="P616">
        <v>70636.74</v>
      </c>
      <c r="Q616">
        <v>0</v>
      </c>
      <c r="R616">
        <v>0</v>
      </c>
      <c r="S616">
        <v>0.035</v>
      </c>
      <c r="T616" t="s">
        <v>25</v>
      </c>
    </row>
    <row r="617" spans="1:20" ht="15">
      <c r="A617" t="s">
        <v>19</v>
      </c>
      <c r="B617" t="s">
        <v>20</v>
      </c>
      <c r="C617" t="str">
        <f t="shared" si="9"/>
        <v>31-Dec-21</v>
      </c>
      <c r="D617" t="s">
        <v>21</v>
      </c>
      <c r="E617" t="s">
        <v>22</v>
      </c>
      <c r="F617" t="str">
        <f>"BH0VXF7"</f>
        <v>BH0VXF7</v>
      </c>
      <c r="G617" t="s">
        <v>648</v>
      </c>
      <c r="I617" t="s">
        <v>581</v>
      </c>
      <c r="J617">
        <v>0.112791041</v>
      </c>
      <c r="K617">
        <v>14000</v>
      </c>
      <c r="L617">
        <v>593835.24</v>
      </c>
      <c r="M617">
        <v>65574.18</v>
      </c>
      <c r="N617">
        <v>40.2</v>
      </c>
      <c r="O617">
        <v>562800</v>
      </c>
      <c r="P617">
        <v>63478.8</v>
      </c>
      <c r="Q617">
        <v>0</v>
      </c>
      <c r="R617">
        <v>0</v>
      </c>
      <c r="S617">
        <v>0.031</v>
      </c>
      <c r="T617" t="s">
        <v>25</v>
      </c>
    </row>
    <row r="618" spans="1:20" ht="15">
      <c r="A618" t="s">
        <v>19</v>
      </c>
      <c r="B618" t="s">
        <v>20</v>
      </c>
      <c r="C618" t="str">
        <f t="shared" si="9"/>
        <v>31-Dec-21</v>
      </c>
      <c r="D618" t="s">
        <v>21</v>
      </c>
      <c r="E618" t="s">
        <v>22</v>
      </c>
      <c r="F618" t="str">
        <f>"B01B1L9"</f>
        <v>B01B1L9</v>
      </c>
      <c r="G618" t="s">
        <v>649</v>
      </c>
      <c r="I618" t="s">
        <v>581</v>
      </c>
      <c r="J618">
        <v>0.112791041</v>
      </c>
      <c r="K618">
        <v>96000</v>
      </c>
      <c r="L618">
        <v>3393059.84</v>
      </c>
      <c r="M618">
        <v>369022.59</v>
      </c>
      <c r="N618">
        <v>44.2</v>
      </c>
      <c r="O618">
        <v>4243200</v>
      </c>
      <c r="P618">
        <v>478594.95</v>
      </c>
      <c r="Q618">
        <v>0</v>
      </c>
      <c r="R618">
        <v>0</v>
      </c>
      <c r="S618">
        <v>0.237</v>
      </c>
      <c r="T618" t="s">
        <v>25</v>
      </c>
    </row>
    <row r="619" spans="1:20" ht="15">
      <c r="A619" t="s">
        <v>19</v>
      </c>
      <c r="B619" t="s">
        <v>20</v>
      </c>
      <c r="C619" t="str">
        <f t="shared" si="9"/>
        <v>31-Dec-21</v>
      </c>
      <c r="D619" t="s">
        <v>21</v>
      </c>
      <c r="E619" t="s">
        <v>22</v>
      </c>
      <c r="F619" t="str">
        <f>"B1DYPZ5"</f>
        <v>B1DYPZ5</v>
      </c>
      <c r="G619" t="s">
        <v>650</v>
      </c>
      <c r="I619" t="s">
        <v>581</v>
      </c>
      <c r="J619">
        <v>0.112791041</v>
      </c>
      <c r="K619">
        <v>120500</v>
      </c>
      <c r="L619">
        <v>2729514.02</v>
      </c>
      <c r="M619">
        <v>298225.57</v>
      </c>
      <c r="N619">
        <v>60.55</v>
      </c>
      <c r="O619">
        <v>7296275</v>
      </c>
      <c r="P619">
        <v>822954.46</v>
      </c>
      <c r="Q619">
        <v>0</v>
      </c>
      <c r="R619">
        <v>0</v>
      </c>
      <c r="S619">
        <v>0.408</v>
      </c>
      <c r="T619" t="s">
        <v>25</v>
      </c>
    </row>
    <row r="620" spans="1:20" ht="15">
      <c r="A620" t="s">
        <v>19</v>
      </c>
      <c r="B620" t="s">
        <v>20</v>
      </c>
      <c r="C620" t="str">
        <f t="shared" si="9"/>
        <v>31-Dec-21</v>
      </c>
      <c r="D620" t="s">
        <v>21</v>
      </c>
      <c r="E620" t="s">
        <v>22</v>
      </c>
      <c r="F620" t="str">
        <f>"6416139"</f>
        <v>6416139</v>
      </c>
      <c r="G620" t="s">
        <v>651</v>
      </c>
      <c r="I620" t="s">
        <v>581</v>
      </c>
      <c r="J620">
        <v>0.112791041</v>
      </c>
      <c r="K620">
        <v>43524</v>
      </c>
      <c r="L620">
        <v>900356.75</v>
      </c>
      <c r="M620">
        <v>94766.53</v>
      </c>
      <c r="N620">
        <v>14.2</v>
      </c>
      <c r="O620">
        <v>618040.8</v>
      </c>
      <c r="P620">
        <v>69709.47</v>
      </c>
      <c r="Q620">
        <v>0</v>
      </c>
      <c r="R620">
        <v>0</v>
      </c>
      <c r="S620">
        <v>0.035</v>
      </c>
      <c r="T620" t="s">
        <v>25</v>
      </c>
    </row>
    <row r="621" spans="1:20" ht="15">
      <c r="A621" t="s">
        <v>19</v>
      </c>
      <c r="B621" t="s">
        <v>20</v>
      </c>
      <c r="C621" t="str">
        <f t="shared" si="9"/>
        <v>31-Dec-21</v>
      </c>
      <c r="D621" t="s">
        <v>21</v>
      </c>
      <c r="E621" t="s">
        <v>22</v>
      </c>
      <c r="F621" t="str">
        <f>"6205865"</f>
        <v>6205865</v>
      </c>
      <c r="G621" t="s">
        <v>652</v>
      </c>
      <c r="I621" t="s">
        <v>581</v>
      </c>
      <c r="J621">
        <v>0.112791041</v>
      </c>
      <c r="K621">
        <v>12900</v>
      </c>
      <c r="L621">
        <v>179047.68</v>
      </c>
      <c r="M621">
        <v>16962.31</v>
      </c>
      <c r="N621">
        <v>20.26414</v>
      </c>
      <c r="O621">
        <v>261407.45</v>
      </c>
      <c r="P621">
        <v>29484.42</v>
      </c>
      <c r="Q621">
        <v>0</v>
      </c>
      <c r="R621">
        <v>0</v>
      </c>
      <c r="S621">
        <v>0.015</v>
      </c>
      <c r="T621" t="s">
        <v>25</v>
      </c>
    </row>
    <row r="622" spans="1:20" ht="15">
      <c r="A622" t="s">
        <v>19</v>
      </c>
      <c r="B622" t="s">
        <v>20</v>
      </c>
      <c r="C622" t="str">
        <f t="shared" si="9"/>
        <v>31-Dec-21</v>
      </c>
      <c r="D622" t="s">
        <v>21</v>
      </c>
      <c r="E622" t="s">
        <v>22</v>
      </c>
      <c r="F622" t="str">
        <f>"BDCFSQ5"</f>
        <v>BDCFSQ5</v>
      </c>
      <c r="G622" t="s">
        <v>653</v>
      </c>
      <c r="I622" t="s">
        <v>581</v>
      </c>
      <c r="J622">
        <v>0.112791041</v>
      </c>
      <c r="K622">
        <v>44060</v>
      </c>
      <c r="L622">
        <v>465271.72</v>
      </c>
      <c r="M622">
        <v>52161.4</v>
      </c>
      <c r="N622">
        <v>11.94</v>
      </c>
      <c r="O622">
        <v>526076.4</v>
      </c>
      <c r="P622">
        <v>59336.71</v>
      </c>
      <c r="Q622">
        <v>0</v>
      </c>
      <c r="R622">
        <v>0</v>
      </c>
      <c r="S622">
        <v>0.029</v>
      </c>
      <c r="T622" t="s">
        <v>25</v>
      </c>
    </row>
    <row r="623" spans="1:20" ht="15">
      <c r="A623" t="s">
        <v>19</v>
      </c>
      <c r="B623" t="s">
        <v>20</v>
      </c>
      <c r="C623" t="str">
        <f t="shared" si="9"/>
        <v>31-Dec-21</v>
      </c>
      <c r="D623" t="s">
        <v>21</v>
      </c>
      <c r="E623" t="s">
        <v>22</v>
      </c>
      <c r="F623" t="str">
        <f>"B57JY24"</f>
        <v>B57JY24</v>
      </c>
      <c r="G623" t="s">
        <v>654</v>
      </c>
      <c r="I623" t="s">
        <v>581</v>
      </c>
      <c r="J623">
        <v>0.112791041</v>
      </c>
      <c r="K623">
        <v>249380</v>
      </c>
      <c r="L623">
        <v>1539189.18</v>
      </c>
      <c r="M623">
        <v>163487.07</v>
      </c>
      <c r="N623">
        <v>2.98</v>
      </c>
      <c r="O623">
        <v>743152.4</v>
      </c>
      <c r="P623">
        <v>83820.93</v>
      </c>
      <c r="Q623">
        <v>0</v>
      </c>
      <c r="R623">
        <v>0</v>
      </c>
      <c r="S623">
        <v>0.042</v>
      </c>
      <c r="T623" t="s">
        <v>25</v>
      </c>
    </row>
    <row r="624" spans="1:20" ht="15">
      <c r="A624" t="s">
        <v>19</v>
      </c>
      <c r="B624" t="s">
        <v>20</v>
      </c>
      <c r="C624" t="str">
        <f t="shared" si="9"/>
        <v>31-Dec-21</v>
      </c>
      <c r="D624" t="s">
        <v>21</v>
      </c>
      <c r="E624" t="s">
        <v>22</v>
      </c>
      <c r="F624" t="str">
        <f>"B1VRCG6"</f>
        <v>B1VRCG6</v>
      </c>
      <c r="G624" t="s">
        <v>655</v>
      </c>
      <c r="I624" t="s">
        <v>581</v>
      </c>
      <c r="J624">
        <v>0.112791041</v>
      </c>
      <c r="K624">
        <v>120000</v>
      </c>
      <c r="L624">
        <v>194881.32</v>
      </c>
      <c r="M624">
        <v>21154.25</v>
      </c>
      <c r="N624">
        <v>4.11</v>
      </c>
      <c r="O624">
        <v>493200</v>
      </c>
      <c r="P624">
        <v>55628.54</v>
      </c>
      <c r="Q624">
        <v>0</v>
      </c>
      <c r="R624">
        <v>0</v>
      </c>
      <c r="S624">
        <v>0.028</v>
      </c>
      <c r="T624" t="s">
        <v>25</v>
      </c>
    </row>
    <row r="625" spans="1:20" ht="15">
      <c r="A625" t="s">
        <v>19</v>
      </c>
      <c r="B625" t="s">
        <v>20</v>
      </c>
      <c r="C625" t="str">
        <f t="shared" si="9"/>
        <v>31-Dec-21</v>
      </c>
      <c r="D625" t="s">
        <v>21</v>
      </c>
      <c r="E625" t="s">
        <v>22</v>
      </c>
      <c r="F625" t="str">
        <f>"B0Y91C1"</f>
        <v>B0Y91C1</v>
      </c>
      <c r="G625" t="s">
        <v>656</v>
      </c>
      <c r="I625" t="s">
        <v>581</v>
      </c>
      <c r="J625">
        <v>0.112791041</v>
      </c>
      <c r="K625">
        <v>130950</v>
      </c>
      <c r="L625">
        <v>986047.59</v>
      </c>
      <c r="M625">
        <v>101831.42</v>
      </c>
      <c r="N625">
        <v>9.56</v>
      </c>
      <c r="O625">
        <v>1251882</v>
      </c>
      <c r="P625">
        <v>141201.07</v>
      </c>
      <c r="Q625">
        <v>0</v>
      </c>
      <c r="R625">
        <v>0</v>
      </c>
      <c r="S625">
        <v>0.07</v>
      </c>
      <c r="T625" t="s">
        <v>25</v>
      </c>
    </row>
    <row r="626" spans="1:20" ht="15">
      <c r="A626" t="s">
        <v>19</v>
      </c>
      <c r="B626" t="s">
        <v>20</v>
      </c>
      <c r="C626" t="str">
        <f t="shared" si="9"/>
        <v>31-Dec-21</v>
      </c>
      <c r="D626" t="s">
        <v>21</v>
      </c>
      <c r="E626" t="s">
        <v>22</v>
      </c>
      <c r="F626" t="str">
        <f>"6560995"</f>
        <v>6560995</v>
      </c>
      <c r="G626" t="s">
        <v>657</v>
      </c>
      <c r="I626" t="s">
        <v>581</v>
      </c>
      <c r="J626">
        <v>0.112791041</v>
      </c>
      <c r="K626">
        <v>68000</v>
      </c>
      <c r="L626">
        <v>1338324.59</v>
      </c>
      <c r="M626">
        <v>131685.36</v>
      </c>
      <c r="N626">
        <v>6.83</v>
      </c>
      <c r="O626">
        <v>464440</v>
      </c>
      <c r="P626">
        <v>52384.67</v>
      </c>
      <c r="Q626">
        <v>0</v>
      </c>
      <c r="R626">
        <v>0</v>
      </c>
      <c r="S626">
        <v>0.026</v>
      </c>
      <c r="T626" t="s">
        <v>25</v>
      </c>
    </row>
    <row r="627" spans="1:20" ht="15">
      <c r="A627" t="s">
        <v>19</v>
      </c>
      <c r="B627" t="s">
        <v>20</v>
      </c>
      <c r="C627" t="str">
        <f t="shared" si="9"/>
        <v>31-Dec-21</v>
      </c>
      <c r="D627" t="s">
        <v>21</v>
      </c>
      <c r="E627" t="s">
        <v>22</v>
      </c>
      <c r="F627" t="str">
        <f>"6192150"</f>
        <v>6192150</v>
      </c>
      <c r="G627" t="s">
        <v>658</v>
      </c>
      <c r="I627" t="s">
        <v>581</v>
      </c>
      <c r="J627">
        <v>0.112791041</v>
      </c>
      <c r="K627">
        <v>124000</v>
      </c>
      <c r="L627">
        <v>3019988.15</v>
      </c>
      <c r="M627">
        <v>326467.53</v>
      </c>
      <c r="N627">
        <v>18.46</v>
      </c>
      <c r="O627">
        <v>2289040</v>
      </c>
      <c r="P627">
        <v>258183.21</v>
      </c>
      <c r="Q627">
        <v>0</v>
      </c>
      <c r="R627">
        <v>0</v>
      </c>
      <c r="S627">
        <v>0.128</v>
      </c>
      <c r="T627" t="s">
        <v>25</v>
      </c>
    </row>
    <row r="628" spans="1:20" ht="15">
      <c r="A628" t="s">
        <v>19</v>
      </c>
      <c r="B628" t="s">
        <v>20</v>
      </c>
      <c r="C628" t="str">
        <f t="shared" si="9"/>
        <v>31-Dec-21</v>
      </c>
      <c r="D628" t="s">
        <v>21</v>
      </c>
      <c r="E628" t="s">
        <v>22</v>
      </c>
      <c r="F628" t="str">
        <f>"B2Q5H56"</f>
        <v>B2Q5H56</v>
      </c>
      <c r="G628" t="s">
        <v>659</v>
      </c>
      <c r="I628" t="s">
        <v>581</v>
      </c>
      <c r="J628">
        <v>0.112791041</v>
      </c>
      <c r="K628">
        <v>81800</v>
      </c>
      <c r="L628">
        <v>2502240.77</v>
      </c>
      <c r="M628">
        <v>270748.64</v>
      </c>
      <c r="N628">
        <v>21.15</v>
      </c>
      <c r="O628">
        <v>1730070</v>
      </c>
      <c r="P628">
        <v>195136.4</v>
      </c>
      <c r="Q628">
        <v>0</v>
      </c>
      <c r="R628">
        <v>0</v>
      </c>
      <c r="S628">
        <v>0.097</v>
      </c>
      <c r="T628" t="s">
        <v>25</v>
      </c>
    </row>
    <row r="629" spans="1:20" ht="15">
      <c r="A629" t="s">
        <v>19</v>
      </c>
      <c r="B629" t="s">
        <v>20</v>
      </c>
      <c r="C629" t="str">
        <f t="shared" si="9"/>
        <v>31-Dec-21</v>
      </c>
      <c r="D629" t="s">
        <v>21</v>
      </c>
      <c r="E629" t="s">
        <v>22</v>
      </c>
      <c r="F629" t="str">
        <f>"6291819"</f>
        <v>6291819</v>
      </c>
      <c r="G629" t="s">
        <v>660</v>
      </c>
      <c r="I629" t="s">
        <v>581</v>
      </c>
      <c r="J629">
        <v>0.112791041</v>
      </c>
      <c r="K629">
        <v>798000</v>
      </c>
      <c r="L629">
        <v>4711691.12</v>
      </c>
      <c r="M629">
        <v>506597.01</v>
      </c>
      <c r="N629">
        <v>3.63</v>
      </c>
      <c r="O629">
        <v>2896740</v>
      </c>
      <c r="P629">
        <v>326726.32</v>
      </c>
      <c r="Q629">
        <v>0</v>
      </c>
      <c r="R629">
        <v>0</v>
      </c>
      <c r="S629">
        <v>0.162</v>
      </c>
      <c r="T629" t="s">
        <v>25</v>
      </c>
    </row>
    <row r="630" spans="1:20" ht="15">
      <c r="A630" t="s">
        <v>19</v>
      </c>
      <c r="B630" t="s">
        <v>20</v>
      </c>
      <c r="C630" t="str">
        <f t="shared" si="9"/>
        <v>31-Dec-21</v>
      </c>
      <c r="D630" t="s">
        <v>21</v>
      </c>
      <c r="E630" t="s">
        <v>22</v>
      </c>
      <c r="F630" t="str">
        <f>"B02ZKQ8"</f>
        <v>B02ZKQ8</v>
      </c>
      <c r="G630" t="s">
        <v>661</v>
      </c>
      <c r="I630" t="s">
        <v>581</v>
      </c>
      <c r="J630">
        <v>0.112791041</v>
      </c>
      <c r="K630">
        <v>158332</v>
      </c>
      <c r="L630">
        <v>337947.52</v>
      </c>
      <c r="M630">
        <v>37636.73</v>
      </c>
      <c r="N630">
        <v>5.25</v>
      </c>
      <c r="O630">
        <v>831243</v>
      </c>
      <c r="P630">
        <v>93756.76</v>
      </c>
      <c r="Q630">
        <v>0</v>
      </c>
      <c r="R630">
        <v>0</v>
      </c>
      <c r="S630">
        <v>0.046</v>
      </c>
      <c r="T630" t="s">
        <v>25</v>
      </c>
    </row>
    <row r="631" spans="1:20" ht="15">
      <c r="A631" t="s">
        <v>19</v>
      </c>
      <c r="B631" t="s">
        <v>20</v>
      </c>
      <c r="C631" t="str">
        <f t="shared" si="9"/>
        <v>31-Dec-21</v>
      </c>
      <c r="D631" t="s">
        <v>21</v>
      </c>
      <c r="E631" t="s">
        <v>22</v>
      </c>
      <c r="F631" t="str">
        <f>"B297KM7"</f>
        <v>B297KM7</v>
      </c>
      <c r="G631" t="s">
        <v>662</v>
      </c>
      <c r="I631" t="s">
        <v>581</v>
      </c>
      <c r="J631">
        <v>0.112791041</v>
      </c>
      <c r="K631">
        <v>103000</v>
      </c>
      <c r="L631">
        <v>604314.25</v>
      </c>
      <c r="M631">
        <v>65408.83</v>
      </c>
      <c r="N631">
        <v>4.12</v>
      </c>
      <c r="O631">
        <v>424360</v>
      </c>
      <c r="P631">
        <v>47864.01</v>
      </c>
      <c r="Q631">
        <v>0</v>
      </c>
      <c r="R631">
        <v>0</v>
      </c>
      <c r="S631">
        <v>0.024</v>
      </c>
      <c r="T631" t="s">
        <v>25</v>
      </c>
    </row>
    <row r="632" spans="1:20" ht="15">
      <c r="A632" t="s">
        <v>19</v>
      </c>
      <c r="B632" t="s">
        <v>20</v>
      </c>
      <c r="C632" t="str">
        <f t="shared" si="9"/>
        <v>31-Dec-21</v>
      </c>
      <c r="D632" t="s">
        <v>21</v>
      </c>
      <c r="E632" t="s">
        <v>22</v>
      </c>
      <c r="F632" t="str">
        <f>"BYYN347"</f>
        <v>BYYN347</v>
      </c>
      <c r="G632" t="s">
        <v>663</v>
      </c>
      <c r="I632" t="s">
        <v>581</v>
      </c>
      <c r="J632">
        <v>0.112791041</v>
      </c>
      <c r="K632">
        <v>136000</v>
      </c>
      <c r="L632">
        <v>226242.46</v>
      </c>
      <c r="M632">
        <v>26145.57</v>
      </c>
      <c r="N632">
        <v>0.75</v>
      </c>
      <c r="O632">
        <v>102000</v>
      </c>
      <c r="P632">
        <v>11504.69</v>
      </c>
      <c r="Q632">
        <v>0</v>
      </c>
      <c r="R632">
        <v>0</v>
      </c>
      <c r="S632">
        <v>0.006</v>
      </c>
      <c r="T632" t="s">
        <v>25</v>
      </c>
    </row>
    <row r="633" spans="1:20" ht="15">
      <c r="A633" t="s">
        <v>19</v>
      </c>
      <c r="B633" t="s">
        <v>20</v>
      </c>
      <c r="C633" t="str">
        <f t="shared" si="9"/>
        <v>31-Dec-21</v>
      </c>
      <c r="D633" t="s">
        <v>21</v>
      </c>
      <c r="E633" t="s">
        <v>22</v>
      </c>
      <c r="F633" t="str">
        <f>"6972459"</f>
        <v>6972459</v>
      </c>
      <c r="G633" t="s">
        <v>664</v>
      </c>
      <c r="I633" t="s">
        <v>581</v>
      </c>
      <c r="J633">
        <v>0.112791041</v>
      </c>
      <c r="K633">
        <v>46477</v>
      </c>
      <c r="L633">
        <v>1314608.65</v>
      </c>
      <c r="M633">
        <v>140865.19</v>
      </c>
      <c r="N633">
        <v>63.85</v>
      </c>
      <c r="O633">
        <v>2967556.45</v>
      </c>
      <c r="P633">
        <v>334713.78</v>
      </c>
      <c r="Q633">
        <v>0</v>
      </c>
      <c r="R633">
        <v>0</v>
      </c>
      <c r="S633">
        <v>0.166</v>
      </c>
      <c r="T633" t="s">
        <v>25</v>
      </c>
    </row>
    <row r="634" spans="1:20" ht="15">
      <c r="A634" t="s">
        <v>19</v>
      </c>
      <c r="B634" t="s">
        <v>20</v>
      </c>
      <c r="C634" t="str">
        <f t="shared" si="9"/>
        <v>31-Dec-21</v>
      </c>
      <c r="D634" t="s">
        <v>21</v>
      </c>
      <c r="E634" t="s">
        <v>22</v>
      </c>
      <c r="F634" t="str">
        <f>"B41XC98"</f>
        <v>B41XC98</v>
      </c>
      <c r="G634" t="s">
        <v>665</v>
      </c>
      <c r="I634" t="s">
        <v>581</v>
      </c>
      <c r="J634">
        <v>0.112791041</v>
      </c>
      <c r="K634">
        <v>80000</v>
      </c>
      <c r="L634">
        <v>440836.96</v>
      </c>
      <c r="M634">
        <v>47234.42</v>
      </c>
      <c r="N634">
        <v>5.89</v>
      </c>
      <c r="O634">
        <v>471200</v>
      </c>
      <c r="P634">
        <v>53147.14</v>
      </c>
      <c r="Q634">
        <v>0</v>
      </c>
      <c r="R634">
        <v>0</v>
      </c>
      <c r="S634">
        <v>0.026</v>
      </c>
      <c r="T634" t="s">
        <v>25</v>
      </c>
    </row>
    <row r="635" spans="1:20" ht="15">
      <c r="A635" t="s">
        <v>19</v>
      </c>
      <c r="B635" t="s">
        <v>20</v>
      </c>
      <c r="C635" t="str">
        <f t="shared" si="9"/>
        <v>31-Dec-21</v>
      </c>
      <c r="D635" t="s">
        <v>21</v>
      </c>
      <c r="E635" t="s">
        <v>22</v>
      </c>
      <c r="F635" t="str">
        <f>"6535517"</f>
        <v>6535517</v>
      </c>
      <c r="G635" t="s">
        <v>666</v>
      </c>
      <c r="I635" t="s">
        <v>581</v>
      </c>
      <c r="J635">
        <v>0.112791041</v>
      </c>
      <c r="K635">
        <v>26000</v>
      </c>
      <c r="L635">
        <v>739851.84</v>
      </c>
      <c r="M635">
        <v>79827.34</v>
      </c>
      <c r="N635">
        <v>44.05</v>
      </c>
      <c r="O635">
        <v>1145300</v>
      </c>
      <c r="P635">
        <v>129179.58</v>
      </c>
      <c r="Q635">
        <v>0</v>
      </c>
      <c r="R635">
        <v>0</v>
      </c>
      <c r="S635">
        <v>0.064</v>
      </c>
      <c r="T635" t="s">
        <v>25</v>
      </c>
    </row>
    <row r="636" spans="1:20" ht="15">
      <c r="A636" t="s">
        <v>19</v>
      </c>
      <c r="B636" t="s">
        <v>20</v>
      </c>
      <c r="C636" t="str">
        <f t="shared" si="9"/>
        <v>31-Dec-21</v>
      </c>
      <c r="D636" t="s">
        <v>21</v>
      </c>
      <c r="E636" t="s">
        <v>22</v>
      </c>
      <c r="F636" t="str">
        <f>"6193766"</f>
        <v>6193766</v>
      </c>
      <c r="G636" t="s">
        <v>667</v>
      </c>
      <c r="I636" t="s">
        <v>581</v>
      </c>
      <c r="J636">
        <v>0.112791041</v>
      </c>
      <c r="K636">
        <v>90888</v>
      </c>
      <c r="L636">
        <v>2215804.13</v>
      </c>
      <c r="M636">
        <v>241902.2</v>
      </c>
      <c r="N636">
        <v>32.8</v>
      </c>
      <c r="O636">
        <v>2981126.4</v>
      </c>
      <c r="P636">
        <v>336244.35</v>
      </c>
      <c r="Q636">
        <v>0</v>
      </c>
      <c r="R636">
        <v>0</v>
      </c>
      <c r="S636">
        <v>0.167</v>
      </c>
      <c r="T636" t="s">
        <v>25</v>
      </c>
    </row>
    <row r="637" spans="1:20" ht="15">
      <c r="A637" t="s">
        <v>19</v>
      </c>
      <c r="B637" t="s">
        <v>20</v>
      </c>
      <c r="C637" t="str">
        <f t="shared" si="9"/>
        <v>31-Dec-21</v>
      </c>
      <c r="D637" t="s">
        <v>21</v>
      </c>
      <c r="E637" t="s">
        <v>22</v>
      </c>
      <c r="F637" t="str">
        <f>"BMXWXT6"</f>
        <v>BMXWXT6</v>
      </c>
      <c r="G637" t="s">
        <v>668</v>
      </c>
      <c r="I637" t="s">
        <v>581</v>
      </c>
      <c r="J637">
        <v>0.112791041</v>
      </c>
      <c r="K637">
        <v>15000</v>
      </c>
      <c r="L637">
        <v>609791.69</v>
      </c>
      <c r="M637">
        <v>67413.86</v>
      </c>
      <c r="N637">
        <v>36.35</v>
      </c>
      <c r="O637">
        <v>545250</v>
      </c>
      <c r="P637">
        <v>61499.32</v>
      </c>
      <c r="Q637">
        <v>0</v>
      </c>
      <c r="R637">
        <v>0</v>
      </c>
      <c r="S637">
        <v>0.03</v>
      </c>
      <c r="T637" t="s">
        <v>25</v>
      </c>
    </row>
    <row r="638" spans="1:20" ht="15">
      <c r="A638" t="s">
        <v>19</v>
      </c>
      <c r="B638" t="s">
        <v>20</v>
      </c>
      <c r="C638" t="str">
        <f t="shared" si="9"/>
        <v>31-Dec-21</v>
      </c>
      <c r="D638" t="s">
        <v>21</v>
      </c>
      <c r="E638" t="s">
        <v>22</v>
      </c>
      <c r="F638" t="str">
        <f>"BYNGG26"</f>
        <v>BYNGG26</v>
      </c>
      <c r="G638" t="s">
        <v>669</v>
      </c>
      <c r="I638" t="s">
        <v>581</v>
      </c>
      <c r="J638">
        <v>0.112791041</v>
      </c>
      <c r="K638">
        <v>66500</v>
      </c>
      <c r="L638">
        <v>620602.73</v>
      </c>
      <c r="M638">
        <v>71311.66</v>
      </c>
      <c r="N638">
        <v>3.55</v>
      </c>
      <c r="O638">
        <v>236075</v>
      </c>
      <c r="P638">
        <v>26627.15</v>
      </c>
      <c r="Q638">
        <v>0</v>
      </c>
      <c r="R638">
        <v>0</v>
      </c>
      <c r="S638">
        <v>0.013</v>
      </c>
      <c r="T638" t="s">
        <v>25</v>
      </c>
    </row>
    <row r="639" spans="1:20" ht="15">
      <c r="A639" t="s">
        <v>19</v>
      </c>
      <c r="B639" t="s">
        <v>20</v>
      </c>
      <c r="C639" t="str">
        <f t="shared" si="9"/>
        <v>31-Dec-21</v>
      </c>
      <c r="D639" t="s">
        <v>21</v>
      </c>
      <c r="E639" t="s">
        <v>22</v>
      </c>
      <c r="F639" t="str">
        <f>"6711566"</f>
        <v>6711566</v>
      </c>
      <c r="G639" t="s">
        <v>670</v>
      </c>
      <c r="I639" t="s">
        <v>581</v>
      </c>
      <c r="J639">
        <v>0.112791041</v>
      </c>
      <c r="K639">
        <v>64511</v>
      </c>
      <c r="L639">
        <v>1147363.15</v>
      </c>
      <c r="M639">
        <v>119756.22</v>
      </c>
      <c r="N639">
        <v>26.1</v>
      </c>
      <c r="O639">
        <v>1683737.1</v>
      </c>
      <c r="P639">
        <v>189910.46</v>
      </c>
      <c r="Q639">
        <v>0</v>
      </c>
      <c r="R639">
        <v>0</v>
      </c>
      <c r="S639">
        <v>0.094</v>
      </c>
      <c r="T639" t="s">
        <v>25</v>
      </c>
    </row>
    <row r="640" spans="1:20" ht="15">
      <c r="A640" t="s">
        <v>19</v>
      </c>
      <c r="B640" t="s">
        <v>20</v>
      </c>
      <c r="C640" t="str">
        <f t="shared" si="9"/>
        <v>31-Dec-21</v>
      </c>
      <c r="D640" t="s">
        <v>21</v>
      </c>
      <c r="E640" t="s">
        <v>22</v>
      </c>
      <c r="F640" t="str">
        <f>"B09N7M0"</f>
        <v>B09N7M0</v>
      </c>
      <c r="G640" t="s">
        <v>671</v>
      </c>
      <c r="I640" t="s">
        <v>581</v>
      </c>
      <c r="J640">
        <v>0.112791041</v>
      </c>
      <c r="K640">
        <v>113000</v>
      </c>
      <c r="L640">
        <v>2218588.59</v>
      </c>
      <c r="M640">
        <v>232659.85</v>
      </c>
      <c r="N640">
        <v>18.28</v>
      </c>
      <c r="O640">
        <v>2065640</v>
      </c>
      <c r="P640">
        <v>232985.69</v>
      </c>
      <c r="Q640">
        <v>0</v>
      </c>
      <c r="R640">
        <v>0</v>
      </c>
      <c r="S640">
        <v>0.115</v>
      </c>
      <c r="T640" t="s">
        <v>25</v>
      </c>
    </row>
    <row r="641" spans="1:20" ht="15">
      <c r="A641" t="s">
        <v>19</v>
      </c>
      <c r="B641" t="s">
        <v>20</v>
      </c>
      <c r="C641" t="str">
        <f t="shared" si="9"/>
        <v>31-Dec-21</v>
      </c>
      <c r="D641" t="s">
        <v>21</v>
      </c>
      <c r="E641" t="s">
        <v>22</v>
      </c>
      <c r="F641" t="str">
        <f>"6013693"</f>
        <v>6013693</v>
      </c>
      <c r="G641" t="s">
        <v>672</v>
      </c>
      <c r="I641" t="s">
        <v>581</v>
      </c>
      <c r="J641">
        <v>0.112791041</v>
      </c>
      <c r="K641">
        <v>74000</v>
      </c>
      <c r="L641">
        <v>364138.23</v>
      </c>
      <c r="M641">
        <v>39455.84</v>
      </c>
      <c r="N641">
        <v>4.67</v>
      </c>
      <c r="O641">
        <v>345580</v>
      </c>
      <c r="P641">
        <v>38978.33</v>
      </c>
      <c r="Q641">
        <v>0</v>
      </c>
      <c r="R641">
        <v>0</v>
      </c>
      <c r="S641">
        <v>0.019</v>
      </c>
      <c r="T641" t="s">
        <v>25</v>
      </c>
    </row>
    <row r="642" spans="1:20" ht="15">
      <c r="A642" t="s">
        <v>19</v>
      </c>
      <c r="B642" t="s">
        <v>20</v>
      </c>
      <c r="C642" t="str">
        <f aca="true" t="shared" si="10" ref="C642:C705">"31-Dec-21"</f>
        <v>31-Dec-21</v>
      </c>
      <c r="D642" t="s">
        <v>21</v>
      </c>
      <c r="E642" t="s">
        <v>22</v>
      </c>
      <c r="F642" t="str">
        <f>"B0BM5T8"</f>
        <v>B0BM5T8</v>
      </c>
      <c r="G642" t="s">
        <v>673</v>
      </c>
      <c r="I642" t="s">
        <v>581</v>
      </c>
      <c r="J642">
        <v>0.112791041</v>
      </c>
      <c r="K642">
        <v>52000</v>
      </c>
      <c r="L642">
        <v>681670.93</v>
      </c>
      <c r="M642">
        <v>68707.02</v>
      </c>
      <c r="N642">
        <v>9.69</v>
      </c>
      <c r="O642">
        <v>503880</v>
      </c>
      <c r="P642">
        <v>56833.15</v>
      </c>
      <c r="Q642">
        <v>0</v>
      </c>
      <c r="R642">
        <v>0</v>
      </c>
      <c r="S642">
        <v>0.028</v>
      </c>
      <c r="T642" t="s">
        <v>25</v>
      </c>
    </row>
    <row r="643" spans="1:20" ht="15">
      <c r="A643" t="s">
        <v>19</v>
      </c>
      <c r="B643" t="s">
        <v>20</v>
      </c>
      <c r="C643" t="str">
        <f t="shared" si="10"/>
        <v>31-Dec-21</v>
      </c>
      <c r="D643" t="s">
        <v>21</v>
      </c>
      <c r="E643" t="s">
        <v>22</v>
      </c>
      <c r="F643" t="str">
        <f>"6264048"</f>
        <v>6264048</v>
      </c>
      <c r="G643" t="s">
        <v>674</v>
      </c>
      <c r="I643" t="s">
        <v>581</v>
      </c>
      <c r="J643">
        <v>0.112791041</v>
      </c>
      <c r="K643">
        <v>53948</v>
      </c>
      <c r="L643">
        <v>1135892.82</v>
      </c>
      <c r="M643">
        <v>126663.53</v>
      </c>
      <c r="N643">
        <v>10.7</v>
      </c>
      <c r="O643">
        <v>577243.6</v>
      </c>
      <c r="P643">
        <v>65107.91</v>
      </c>
      <c r="Q643">
        <v>0</v>
      </c>
      <c r="R643">
        <v>0</v>
      </c>
      <c r="S643">
        <v>0.032</v>
      </c>
      <c r="T643" t="s">
        <v>25</v>
      </c>
    </row>
    <row r="644" spans="1:20" ht="15">
      <c r="A644" t="s">
        <v>19</v>
      </c>
      <c r="B644" t="s">
        <v>20</v>
      </c>
      <c r="C644" t="str">
        <f t="shared" si="10"/>
        <v>31-Dec-21</v>
      </c>
      <c r="D644" t="s">
        <v>21</v>
      </c>
      <c r="E644" t="s">
        <v>22</v>
      </c>
      <c r="F644" t="str">
        <f>"BFZ2PK0"</f>
        <v>BFZ2PK0</v>
      </c>
      <c r="G644" t="s">
        <v>675</v>
      </c>
      <c r="I644" t="s">
        <v>581</v>
      </c>
      <c r="J644">
        <v>0.112791041</v>
      </c>
      <c r="K644">
        <v>1378000</v>
      </c>
      <c r="L644">
        <v>2119459.8</v>
      </c>
      <c r="M644">
        <v>238475.72</v>
      </c>
      <c r="N644">
        <v>0.86</v>
      </c>
      <c r="O644">
        <v>1185080</v>
      </c>
      <c r="P644">
        <v>133666.41</v>
      </c>
      <c r="Q644">
        <v>0</v>
      </c>
      <c r="R644">
        <v>0</v>
      </c>
      <c r="S644">
        <v>0.066</v>
      </c>
      <c r="T644" t="s">
        <v>25</v>
      </c>
    </row>
    <row r="645" spans="1:20" ht="15">
      <c r="A645" t="s">
        <v>19</v>
      </c>
      <c r="B645" t="s">
        <v>20</v>
      </c>
      <c r="C645" t="str">
        <f t="shared" si="10"/>
        <v>31-Dec-21</v>
      </c>
      <c r="D645" t="s">
        <v>21</v>
      </c>
      <c r="E645" t="s">
        <v>22</v>
      </c>
      <c r="F645" t="str">
        <f>"6971779"</f>
        <v>6971779</v>
      </c>
      <c r="G645" t="s">
        <v>676</v>
      </c>
      <c r="I645" t="s">
        <v>581</v>
      </c>
      <c r="J645">
        <v>0.112791041</v>
      </c>
      <c r="K645">
        <v>80000</v>
      </c>
      <c r="L645">
        <v>422850.12</v>
      </c>
      <c r="M645">
        <v>47631.22</v>
      </c>
      <c r="N645">
        <v>5.17</v>
      </c>
      <c r="O645">
        <v>413600</v>
      </c>
      <c r="P645">
        <v>46650.37</v>
      </c>
      <c r="Q645">
        <v>0</v>
      </c>
      <c r="R645">
        <v>0</v>
      </c>
      <c r="S645">
        <v>0.023</v>
      </c>
      <c r="T645" t="s">
        <v>25</v>
      </c>
    </row>
    <row r="646" spans="1:20" ht="15">
      <c r="A646" t="s">
        <v>19</v>
      </c>
      <c r="B646" t="s">
        <v>20</v>
      </c>
      <c r="C646" t="str">
        <f t="shared" si="10"/>
        <v>31-Dec-21</v>
      </c>
      <c r="D646" t="s">
        <v>21</v>
      </c>
      <c r="E646" t="s">
        <v>22</v>
      </c>
      <c r="F646" t="str">
        <f>"BN320P8"</f>
        <v>BN320P8</v>
      </c>
      <c r="G646" t="s">
        <v>677</v>
      </c>
      <c r="I646" t="s">
        <v>581</v>
      </c>
      <c r="J646">
        <v>0.112791041</v>
      </c>
      <c r="K646">
        <v>64300</v>
      </c>
      <c r="L646">
        <v>1385911.41</v>
      </c>
      <c r="M646">
        <v>152665.43</v>
      </c>
      <c r="N646">
        <v>18.14</v>
      </c>
      <c r="O646">
        <v>1166402</v>
      </c>
      <c r="P646">
        <v>131559.7</v>
      </c>
      <c r="Q646">
        <v>0</v>
      </c>
      <c r="R646">
        <v>0</v>
      </c>
      <c r="S646">
        <v>0.065</v>
      </c>
      <c r="T646" t="s">
        <v>25</v>
      </c>
    </row>
    <row r="647" spans="1:20" ht="15">
      <c r="A647" t="s">
        <v>19</v>
      </c>
      <c r="B647" t="s">
        <v>20</v>
      </c>
      <c r="C647" t="str">
        <f t="shared" si="10"/>
        <v>31-Dec-21</v>
      </c>
      <c r="D647" t="s">
        <v>21</v>
      </c>
      <c r="E647" t="s">
        <v>22</v>
      </c>
      <c r="F647" t="str">
        <f>"6159478"</f>
        <v>6159478</v>
      </c>
      <c r="G647" t="s">
        <v>678</v>
      </c>
      <c r="I647" t="s">
        <v>581</v>
      </c>
      <c r="J647">
        <v>0.112791041</v>
      </c>
      <c r="K647">
        <v>63140</v>
      </c>
      <c r="L647">
        <v>321573.33</v>
      </c>
      <c r="M647">
        <v>34893.93</v>
      </c>
      <c r="N647">
        <v>4.36</v>
      </c>
      <c r="O647">
        <v>275290.4</v>
      </c>
      <c r="P647">
        <v>31050.29</v>
      </c>
      <c r="Q647">
        <v>0</v>
      </c>
      <c r="R647">
        <v>0</v>
      </c>
      <c r="S647">
        <v>0.015</v>
      </c>
      <c r="T647" t="s">
        <v>25</v>
      </c>
    </row>
    <row r="648" spans="1:20" ht="15">
      <c r="A648" t="s">
        <v>19</v>
      </c>
      <c r="B648" t="s">
        <v>20</v>
      </c>
      <c r="C648" t="str">
        <f t="shared" si="10"/>
        <v>31-Dec-21</v>
      </c>
      <c r="D648" t="s">
        <v>21</v>
      </c>
      <c r="E648" t="s">
        <v>22</v>
      </c>
      <c r="F648" t="str">
        <f>"B4Q1Y57"</f>
        <v>B4Q1Y57</v>
      </c>
      <c r="G648" t="s">
        <v>679</v>
      </c>
      <c r="I648" t="s">
        <v>581</v>
      </c>
      <c r="J648">
        <v>0.112791041</v>
      </c>
      <c r="K648">
        <v>106000</v>
      </c>
      <c r="L648">
        <v>391975.93</v>
      </c>
      <c r="M648">
        <v>37435.21</v>
      </c>
      <c r="N648">
        <v>2.77</v>
      </c>
      <c r="O648">
        <v>293620</v>
      </c>
      <c r="P648">
        <v>33117.71</v>
      </c>
      <c r="Q648">
        <v>0</v>
      </c>
      <c r="R648">
        <v>0</v>
      </c>
      <c r="S648">
        <v>0.016</v>
      </c>
      <c r="T648" t="s">
        <v>25</v>
      </c>
    </row>
    <row r="649" spans="1:20" ht="15">
      <c r="A649" t="s">
        <v>19</v>
      </c>
      <c r="B649" t="s">
        <v>20</v>
      </c>
      <c r="C649" t="str">
        <f t="shared" si="10"/>
        <v>31-Dec-21</v>
      </c>
      <c r="D649" t="s">
        <v>21</v>
      </c>
      <c r="E649" t="s">
        <v>22</v>
      </c>
      <c r="F649" t="str">
        <f>"B1VKYN6"</f>
        <v>B1VKYN6</v>
      </c>
      <c r="G649" t="s">
        <v>680</v>
      </c>
      <c r="I649" t="s">
        <v>581</v>
      </c>
      <c r="J649">
        <v>0.112791041</v>
      </c>
      <c r="K649">
        <v>260718</v>
      </c>
      <c r="L649">
        <v>2144506.34</v>
      </c>
      <c r="M649">
        <v>230723.33</v>
      </c>
      <c r="N649">
        <v>6.92</v>
      </c>
      <c r="O649">
        <v>1804168.56</v>
      </c>
      <c r="P649">
        <v>203494.05</v>
      </c>
      <c r="Q649">
        <v>0</v>
      </c>
      <c r="R649">
        <v>0</v>
      </c>
      <c r="S649">
        <v>0.101</v>
      </c>
      <c r="T649" t="s">
        <v>25</v>
      </c>
    </row>
    <row r="650" spans="1:20" ht="15">
      <c r="A650" t="s">
        <v>19</v>
      </c>
      <c r="B650" t="s">
        <v>20</v>
      </c>
      <c r="C650" t="str">
        <f t="shared" si="10"/>
        <v>31-Dec-21</v>
      </c>
      <c r="D650" t="s">
        <v>21</v>
      </c>
      <c r="E650" t="s">
        <v>22</v>
      </c>
      <c r="F650" t="str">
        <f>"BDQZP48"</f>
        <v>BDQZP48</v>
      </c>
      <c r="G650" t="s">
        <v>681</v>
      </c>
      <c r="I650" t="s">
        <v>581</v>
      </c>
      <c r="J650">
        <v>0.112791041</v>
      </c>
      <c r="K650">
        <v>54662</v>
      </c>
      <c r="L650">
        <v>1042648.03</v>
      </c>
      <c r="M650">
        <v>117277.71</v>
      </c>
      <c r="N650">
        <v>46.7</v>
      </c>
      <c r="O650">
        <v>2552715.4</v>
      </c>
      <c r="P650">
        <v>287923.43</v>
      </c>
      <c r="Q650">
        <v>0</v>
      </c>
      <c r="R650">
        <v>0</v>
      </c>
      <c r="S650">
        <v>0.143</v>
      </c>
      <c r="T650" t="s">
        <v>25</v>
      </c>
    </row>
    <row r="651" spans="1:20" ht="15">
      <c r="A651" t="s">
        <v>19</v>
      </c>
      <c r="B651" t="s">
        <v>20</v>
      </c>
      <c r="C651" t="str">
        <f t="shared" si="10"/>
        <v>31-Dec-21</v>
      </c>
      <c r="D651" t="s">
        <v>21</v>
      </c>
      <c r="E651" t="s">
        <v>22</v>
      </c>
      <c r="F651" t="str">
        <f>"BYQ9796"</f>
        <v>BYQ9796</v>
      </c>
      <c r="G651" t="s">
        <v>682</v>
      </c>
      <c r="I651" t="s">
        <v>581</v>
      </c>
      <c r="J651">
        <v>0.112791041</v>
      </c>
      <c r="K651">
        <v>91500</v>
      </c>
      <c r="L651">
        <v>450318.11</v>
      </c>
      <c r="M651">
        <v>50686.24</v>
      </c>
      <c r="N651">
        <v>4.08</v>
      </c>
      <c r="O651">
        <v>373320</v>
      </c>
      <c r="P651">
        <v>42107.15</v>
      </c>
      <c r="Q651">
        <v>0</v>
      </c>
      <c r="R651">
        <v>0</v>
      </c>
      <c r="S651">
        <v>0.021</v>
      </c>
      <c r="T651" t="s">
        <v>25</v>
      </c>
    </row>
    <row r="652" spans="1:20" ht="15">
      <c r="A652" t="s">
        <v>19</v>
      </c>
      <c r="B652" t="s">
        <v>20</v>
      </c>
      <c r="C652" t="str">
        <f t="shared" si="10"/>
        <v>31-Dec-21</v>
      </c>
      <c r="D652" t="s">
        <v>21</v>
      </c>
      <c r="E652" t="s">
        <v>22</v>
      </c>
      <c r="F652" t="str">
        <f>"6080716"</f>
        <v>6080716</v>
      </c>
      <c r="G652" t="s">
        <v>683</v>
      </c>
      <c r="I652" t="s">
        <v>581</v>
      </c>
      <c r="J652">
        <v>0.112791041</v>
      </c>
      <c r="K652">
        <v>226000</v>
      </c>
      <c r="L652">
        <v>584343</v>
      </c>
      <c r="M652">
        <v>62523.41</v>
      </c>
      <c r="N652">
        <v>1.76</v>
      </c>
      <c r="O652">
        <v>397760</v>
      </c>
      <c r="P652">
        <v>44863.76</v>
      </c>
      <c r="Q652">
        <v>0</v>
      </c>
      <c r="R652">
        <v>0</v>
      </c>
      <c r="S652">
        <v>0.022</v>
      </c>
      <c r="T652" t="s">
        <v>25</v>
      </c>
    </row>
    <row r="653" spans="1:20" ht="15">
      <c r="A653" t="s">
        <v>19</v>
      </c>
      <c r="B653" t="s">
        <v>20</v>
      </c>
      <c r="C653" t="str">
        <f t="shared" si="10"/>
        <v>31-Dec-21</v>
      </c>
      <c r="D653" t="s">
        <v>21</v>
      </c>
      <c r="E653" t="s">
        <v>22</v>
      </c>
      <c r="F653" t="str">
        <f>"6278566"</f>
        <v>6278566</v>
      </c>
      <c r="G653" t="s">
        <v>684</v>
      </c>
      <c r="I653" t="s">
        <v>581</v>
      </c>
      <c r="J653">
        <v>0.112791041</v>
      </c>
      <c r="K653">
        <v>21000</v>
      </c>
      <c r="L653">
        <v>254902.84</v>
      </c>
      <c r="M653">
        <v>24115.34</v>
      </c>
      <c r="N653">
        <v>13.12</v>
      </c>
      <c r="O653">
        <v>275520</v>
      </c>
      <c r="P653">
        <v>31076.19</v>
      </c>
      <c r="Q653">
        <v>0</v>
      </c>
      <c r="R653">
        <v>0</v>
      </c>
      <c r="S653">
        <v>0.015</v>
      </c>
      <c r="T653" t="s">
        <v>25</v>
      </c>
    </row>
    <row r="654" spans="1:20" ht="15">
      <c r="A654" t="s">
        <v>19</v>
      </c>
      <c r="B654" t="s">
        <v>20</v>
      </c>
      <c r="C654" t="str">
        <f t="shared" si="10"/>
        <v>31-Dec-21</v>
      </c>
      <c r="D654" t="s">
        <v>21</v>
      </c>
      <c r="E654" t="s">
        <v>22</v>
      </c>
      <c r="F654" t="str">
        <f>"B0PH5N3"</f>
        <v>B0PH5N3</v>
      </c>
      <c r="G654" t="s">
        <v>685</v>
      </c>
      <c r="I654" t="s">
        <v>581</v>
      </c>
      <c r="J654">
        <v>0.112791041</v>
      </c>
      <c r="K654">
        <v>86000</v>
      </c>
      <c r="L654">
        <v>838669.03</v>
      </c>
      <c r="M654">
        <v>87023.56</v>
      </c>
      <c r="N654">
        <v>6.48</v>
      </c>
      <c r="O654">
        <v>557280</v>
      </c>
      <c r="P654">
        <v>62856.19</v>
      </c>
      <c r="Q654">
        <v>0</v>
      </c>
      <c r="R654">
        <v>0</v>
      </c>
      <c r="S654">
        <v>0.031</v>
      </c>
      <c r="T654" t="s">
        <v>25</v>
      </c>
    </row>
    <row r="655" spans="1:20" ht="15">
      <c r="A655" t="s">
        <v>19</v>
      </c>
      <c r="B655" t="s">
        <v>20</v>
      </c>
      <c r="C655" t="str">
        <f t="shared" si="10"/>
        <v>31-Dec-21</v>
      </c>
      <c r="D655" t="s">
        <v>21</v>
      </c>
      <c r="E655" t="s">
        <v>22</v>
      </c>
      <c r="F655" t="str">
        <f>"6333937"</f>
        <v>6333937</v>
      </c>
      <c r="G655" t="s">
        <v>686</v>
      </c>
      <c r="I655" t="s">
        <v>581</v>
      </c>
      <c r="J655">
        <v>0.112791041</v>
      </c>
      <c r="K655">
        <v>23600</v>
      </c>
      <c r="L655">
        <v>1394266.67</v>
      </c>
      <c r="M655">
        <v>151412.7</v>
      </c>
      <c r="N655">
        <v>146.8</v>
      </c>
      <c r="O655">
        <v>3464480</v>
      </c>
      <c r="P655">
        <v>390762.31</v>
      </c>
      <c r="Q655">
        <v>0</v>
      </c>
      <c r="R655">
        <v>0</v>
      </c>
      <c r="S655">
        <v>0.194</v>
      </c>
      <c r="T655" t="s">
        <v>25</v>
      </c>
    </row>
    <row r="656" spans="1:20" ht="15">
      <c r="A656" t="s">
        <v>19</v>
      </c>
      <c r="B656" t="s">
        <v>20</v>
      </c>
      <c r="C656" t="str">
        <f t="shared" si="10"/>
        <v>31-Dec-21</v>
      </c>
      <c r="D656" t="s">
        <v>21</v>
      </c>
      <c r="E656" t="s">
        <v>22</v>
      </c>
      <c r="F656" t="str">
        <f>"BMCW9V1"</f>
        <v>BMCW9V1</v>
      </c>
      <c r="G656" t="s">
        <v>687</v>
      </c>
      <c r="I656" t="s">
        <v>581</v>
      </c>
      <c r="J656">
        <v>0.112791041</v>
      </c>
      <c r="K656">
        <v>118000</v>
      </c>
      <c r="L656">
        <v>543656.36</v>
      </c>
      <c r="M656">
        <v>59536.35</v>
      </c>
      <c r="N656">
        <v>2.64</v>
      </c>
      <c r="O656">
        <v>311520</v>
      </c>
      <c r="P656">
        <v>35136.67</v>
      </c>
      <c r="Q656">
        <v>0</v>
      </c>
      <c r="R656">
        <v>0</v>
      </c>
      <c r="S656">
        <v>0.017</v>
      </c>
      <c r="T656" t="s">
        <v>25</v>
      </c>
    </row>
    <row r="657" spans="1:20" ht="15">
      <c r="A657" t="s">
        <v>19</v>
      </c>
      <c r="B657" t="s">
        <v>20</v>
      </c>
      <c r="C657" t="str">
        <f t="shared" si="10"/>
        <v>31-Dec-21</v>
      </c>
      <c r="D657" t="s">
        <v>21</v>
      </c>
      <c r="E657" t="s">
        <v>22</v>
      </c>
      <c r="F657" t="str">
        <f>"B63DLB5"</f>
        <v>B63DLB5</v>
      </c>
      <c r="G657" t="s">
        <v>688</v>
      </c>
      <c r="I657" t="s">
        <v>581</v>
      </c>
      <c r="J657">
        <v>0.112791041</v>
      </c>
      <c r="K657">
        <v>83000</v>
      </c>
      <c r="L657">
        <v>530283.09</v>
      </c>
      <c r="M657">
        <v>57042.57</v>
      </c>
      <c r="N657">
        <v>6.92</v>
      </c>
      <c r="O657">
        <v>574360</v>
      </c>
      <c r="P657">
        <v>64782.66</v>
      </c>
      <c r="Q657">
        <v>0</v>
      </c>
      <c r="R657">
        <v>0</v>
      </c>
      <c r="S657">
        <v>0.032</v>
      </c>
      <c r="T657" t="s">
        <v>25</v>
      </c>
    </row>
    <row r="658" spans="1:20" ht="15">
      <c r="A658" t="s">
        <v>19</v>
      </c>
      <c r="B658" t="s">
        <v>20</v>
      </c>
      <c r="C658" t="str">
        <f t="shared" si="10"/>
        <v>31-Dec-21</v>
      </c>
      <c r="D658" t="s">
        <v>21</v>
      </c>
      <c r="E658" t="s">
        <v>22</v>
      </c>
      <c r="F658" t="str">
        <f>"BYQ9774"</f>
        <v>BYQ9774</v>
      </c>
      <c r="G658" t="s">
        <v>689</v>
      </c>
      <c r="I658" t="s">
        <v>581</v>
      </c>
      <c r="J658">
        <v>0.112791041</v>
      </c>
      <c r="K658">
        <v>17000</v>
      </c>
      <c r="L658">
        <v>292243.1</v>
      </c>
      <c r="M658">
        <v>31794.72</v>
      </c>
      <c r="N658">
        <v>39.6</v>
      </c>
      <c r="O658">
        <v>673200</v>
      </c>
      <c r="P658">
        <v>75930.93</v>
      </c>
      <c r="Q658">
        <v>0</v>
      </c>
      <c r="R658">
        <v>0</v>
      </c>
      <c r="S658">
        <v>0.038</v>
      </c>
      <c r="T658" t="s">
        <v>25</v>
      </c>
    </row>
    <row r="659" spans="1:20" ht="15">
      <c r="A659" t="s">
        <v>19</v>
      </c>
      <c r="B659" t="s">
        <v>20</v>
      </c>
      <c r="C659" t="str">
        <f t="shared" si="10"/>
        <v>31-Dec-21</v>
      </c>
      <c r="D659" t="s">
        <v>21</v>
      </c>
      <c r="E659" t="s">
        <v>22</v>
      </c>
      <c r="F659" t="str">
        <f>"B1Z7FX0"</f>
        <v>B1Z7FX0</v>
      </c>
      <c r="G659" t="s">
        <v>690</v>
      </c>
      <c r="I659" t="s">
        <v>581</v>
      </c>
      <c r="J659">
        <v>0.112791041</v>
      </c>
      <c r="K659">
        <v>52760</v>
      </c>
      <c r="L659">
        <v>663038.68</v>
      </c>
      <c r="M659">
        <v>74564.53</v>
      </c>
      <c r="N659">
        <v>8.41</v>
      </c>
      <c r="O659">
        <v>443711.6</v>
      </c>
      <c r="P659">
        <v>50046.69</v>
      </c>
      <c r="Q659">
        <v>0</v>
      </c>
      <c r="R659">
        <v>0</v>
      </c>
      <c r="S659">
        <v>0.025</v>
      </c>
      <c r="T659" t="s">
        <v>25</v>
      </c>
    </row>
    <row r="660" spans="1:20" ht="15">
      <c r="A660" t="s">
        <v>19</v>
      </c>
      <c r="B660" t="s">
        <v>20</v>
      </c>
      <c r="C660" t="str">
        <f t="shared" si="10"/>
        <v>31-Dec-21</v>
      </c>
      <c r="D660" t="s">
        <v>21</v>
      </c>
      <c r="E660" t="s">
        <v>22</v>
      </c>
      <c r="F660" t="str">
        <f>"BWGCFG4"</f>
        <v>BWGCFG4</v>
      </c>
      <c r="G660" t="s">
        <v>691</v>
      </c>
      <c r="I660" t="s">
        <v>581</v>
      </c>
      <c r="J660">
        <v>0.112791041</v>
      </c>
      <c r="K660">
        <v>18800</v>
      </c>
      <c r="L660">
        <v>326624.27</v>
      </c>
      <c r="M660">
        <v>37150.95</v>
      </c>
      <c r="N660">
        <v>40.3</v>
      </c>
      <c r="O660">
        <v>757640</v>
      </c>
      <c r="P660">
        <v>85455</v>
      </c>
      <c r="Q660">
        <v>0</v>
      </c>
      <c r="R660">
        <v>0</v>
      </c>
      <c r="S660">
        <v>0.042</v>
      </c>
      <c r="T660" t="s">
        <v>25</v>
      </c>
    </row>
    <row r="661" spans="1:20" ht="15">
      <c r="A661" t="s">
        <v>19</v>
      </c>
      <c r="B661" t="s">
        <v>20</v>
      </c>
      <c r="C661" t="str">
        <f t="shared" si="10"/>
        <v>31-Dec-21</v>
      </c>
      <c r="D661" t="s">
        <v>21</v>
      </c>
      <c r="E661" t="s">
        <v>22</v>
      </c>
      <c r="F661" t="str">
        <f>"BW4NKK8"</f>
        <v>BW4NKK8</v>
      </c>
      <c r="G661" t="s">
        <v>692</v>
      </c>
      <c r="I661" t="s">
        <v>581</v>
      </c>
      <c r="J661">
        <v>0.112791041</v>
      </c>
      <c r="K661">
        <v>46200</v>
      </c>
      <c r="L661">
        <v>869843.78</v>
      </c>
      <c r="M661">
        <v>101424.21</v>
      </c>
      <c r="N661">
        <v>14.86</v>
      </c>
      <c r="O661">
        <v>686532</v>
      </c>
      <c r="P661">
        <v>77434.66</v>
      </c>
      <c r="Q661">
        <v>0</v>
      </c>
      <c r="R661">
        <v>0</v>
      </c>
      <c r="S661">
        <v>0.038</v>
      </c>
      <c r="T661" t="s">
        <v>25</v>
      </c>
    </row>
    <row r="662" spans="1:20" ht="15">
      <c r="A662" t="s">
        <v>19</v>
      </c>
      <c r="B662" t="s">
        <v>20</v>
      </c>
      <c r="C662" t="str">
        <f t="shared" si="10"/>
        <v>31-Dec-21</v>
      </c>
      <c r="D662" t="s">
        <v>21</v>
      </c>
      <c r="E662" t="s">
        <v>22</v>
      </c>
      <c r="F662" t="str">
        <f>"B01Z8S7"</f>
        <v>B01Z8S7</v>
      </c>
      <c r="G662" t="s">
        <v>693</v>
      </c>
      <c r="I662" t="s">
        <v>581</v>
      </c>
      <c r="J662">
        <v>0.112791041</v>
      </c>
      <c r="K662">
        <v>476457</v>
      </c>
      <c r="L662">
        <v>636365.34</v>
      </c>
      <c r="M662">
        <v>67615.53</v>
      </c>
      <c r="N662">
        <v>0.66</v>
      </c>
      <c r="O662">
        <v>314461.62</v>
      </c>
      <c r="P662">
        <v>35468.45</v>
      </c>
      <c r="Q662">
        <v>0</v>
      </c>
      <c r="R662">
        <v>0</v>
      </c>
      <c r="S662">
        <v>0.018</v>
      </c>
      <c r="T662" t="s">
        <v>25</v>
      </c>
    </row>
    <row r="663" spans="1:20" ht="15">
      <c r="A663" t="s">
        <v>19</v>
      </c>
      <c r="B663" t="s">
        <v>20</v>
      </c>
      <c r="C663" t="str">
        <f t="shared" si="10"/>
        <v>31-Dec-21</v>
      </c>
      <c r="D663" t="s">
        <v>21</v>
      </c>
      <c r="E663" t="s">
        <v>22</v>
      </c>
      <c r="F663" t="str">
        <f>"BZ9NS11"</f>
        <v>BZ9NS11</v>
      </c>
      <c r="G663" t="s">
        <v>694</v>
      </c>
      <c r="I663" t="s">
        <v>581</v>
      </c>
      <c r="J663">
        <v>0.112791041</v>
      </c>
      <c r="K663">
        <v>5200</v>
      </c>
      <c r="L663">
        <v>228018.84</v>
      </c>
      <c r="M663">
        <v>25842.5</v>
      </c>
      <c r="N663">
        <v>122.7</v>
      </c>
      <c r="O663">
        <v>638040</v>
      </c>
      <c r="P663">
        <v>71965.2</v>
      </c>
      <c r="Q663">
        <v>0</v>
      </c>
      <c r="R663">
        <v>0</v>
      </c>
      <c r="S663">
        <v>0.036</v>
      </c>
      <c r="T663" t="s">
        <v>25</v>
      </c>
    </row>
    <row r="664" spans="1:20" ht="15">
      <c r="A664" t="s">
        <v>19</v>
      </c>
      <c r="B664" t="s">
        <v>20</v>
      </c>
      <c r="C664" t="str">
        <f t="shared" si="10"/>
        <v>31-Dec-21</v>
      </c>
      <c r="D664" t="s">
        <v>21</v>
      </c>
      <c r="E664" t="s">
        <v>22</v>
      </c>
      <c r="F664" t="str">
        <f>"6531827"</f>
        <v>6531827</v>
      </c>
      <c r="G664" t="s">
        <v>695</v>
      </c>
      <c r="I664" t="s">
        <v>581</v>
      </c>
      <c r="J664">
        <v>0.112791041</v>
      </c>
      <c r="K664">
        <v>159000</v>
      </c>
      <c r="L664">
        <v>1408324.92</v>
      </c>
      <c r="M664">
        <v>156899.41</v>
      </c>
      <c r="N664">
        <v>21.3</v>
      </c>
      <c r="O664">
        <v>3386700</v>
      </c>
      <c r="P664">
        <v>381989.42</v>
      </c>
      <c r="Q664">
        <v>0</v>
      </c>
      <c r="R664">
        <v>0</v>
      </c>
      <c r="S664">
        <v>0.189</v>
      </c>
      <c r="T664" t="s">
        <v>25</v>
      </c>
    </row>
    <row r="665" spans="1:20" ht="15">
      <c r="A665" t="s">
        <v>19</v>
      </c>
      <c r="B665" t="s">
        <v>20</v>
      </c>
      <c r="C665" t="str">
        <f t="shared" si="10"/>
        <v>31-Dec-21</v>
      </c>
      <c r="D665" t="s">
        <v>21</v>
      </c>
      <c r="E665" t="s">
        <v>22</v>
      </c>
      <c r="F665" t="str">
        <f>"BD9Q2J2"</f>
        <v>BD9Q2J2</v>
      </c>
      <c r="G665" t="s">
        <v>696</v>
      </c>
      <c r="I665" t="s">
        <v>581</v>
      </c>
      <c r="J665">
        <v>0.112791041</v>
      </c>
      <c r="K665">
        <v>33000</v>
      </c>
      <c r="L665">
        <v>761153.31</v>
      </c>
      <c r="M665">
        <v>80155.86</v>
      </c>
      <c r="N665">
        <v>34.5</v>
      </c>
      <c r="O665">
        <v>1138500</v>
      </c>
      <c r="P665">
        <v>128412.6</v>
      </c>
      <c r="Q665">
        <v>0</v>
      </c>
      <c r="R665">
        <v>0</v>
      </c>
      <c r="S665">
        <v>0.064</v>
      </c>
      <c r="T665" t="s">
        <v>25</v>
      </c>
    </row>
    <row r="666" spans="1:20" ht="15">
      <c r="A666" t="s">
        <v>19</v>
      </c>
      <c r="B666" t="s">
        <v>20</v>
      </c>
      <c r="C666" t="str">
        <f t="shared" si="10"/>
        <v>31-Dec-21</v>
      </c>
      <c r="D666" t="s">
        <v>21</v>
      </c>
      <c r="E666" t="s">
        <v>22</v>
      </c>
      <c r="F666" t="str">
        <f>"6718255"</f>
        <v>6718255</v>
      </c>
      <c r="G666" t="s">
        <v>697</v>
      </c>
      <c r="I666" t="s">
        <v>581</v>
      </c>
      <c r="J666">
        <v>0.112791041</v>
      </c>
      <c r="K666">
        <v>102000</v>
      </c>
      <c r="L666">
        <v>1103151.3</v>
      </c>
      <c r="M666">
        <v>115214.24</v>
      </c>
      <c r="N666">
        <v>26.8</v>
      </c>
      <c r="O666">
        <v>2733600</v>
      </c>
      <c r="P666">
        <v>308325.59</v>
      </c>
      <c r="Q666">
        <v>0</v>
      </c>
      <c r="R666">
        <v>0</v>
      </c>
      <c r="S666">
        <v>0.153</v>
      </c>
      <c r="T666" t="s">
        <v>25</v>
      </c>
    </row>
    <row r="667" spans="1:20" ht="15">
      <c r="A667" t="s">
        <v>19</v>
      </c>
      <c r="B667" t="s">
        <v>20</v>
      </c>
      <c r="C667" t="str">
        <f t="shared" si="10"/>
        <v>31-Dec-21</v>
      </c>
      <c r="D667" t="s">
        <v>21</v>
      </c>
      <c r="E667" t="s">
        <v>22</v>
      </c>
      <c r="F667" t="str">
        <f>"B17N9P6"</f>
        <v>B17N9P6</v>
      </c>
      <c r="G667" t="s">
        <v>698</v>
      </c>
      <c r="I667" t="s">
        <v>581</v>
      </c>
      <c r="J667">
        <v>0.112791041</v>
      </c>
      <c r="K667">
        <v>31000</v>
      </c>
      <c r="L667">
        <v>220845.43</v>
      </c>
      <c r="M667">
        <v>24042.51</v>
      </c>
      <c r="N667">
        <v>12.56</v>
      </c>
      <c r="O667">
        <v>389360</v>
      </c>
      <c r="P667">
        <v>43916.32</v>
      </c>
      <c r="Q667">
        <v>0</v>
      </c>
      <c r="R667">
        <v>0</v>
      </c>
      <c r="S667">
        <v>0.022</v>
      </c>
      <c r="T667" t="s">
        <v>25</v>
      </c>
    </row>
    <row r="668" spans="1:20" ht="15">
      <c r="A668" t="s">
        <v>19</v>
      </c>
      <c r="B668" t="s">
        <v>20</v>
      </c>
      <c r="C668" t="str">
        <f t="shared" si="10"/>
        <v>31-Dec-21</v>
      </c>
      <c r="D668" t="s">
        <v>21</v>
      </c>
      <c r="E668" t="s">
        <v>22</v>
      </c>
      <c r="F668" t="str">
        <f>"6393210"</f>
        <v>6393210</v>
      </c>
      <c r="G668" t="s">
        <v>699</v>
      </c>
      <c r="I668" t="s">
        <v>581</v>
      </c>
      <c r="J668">
        <v>0.112791041</v>
      </c>
      <c r="K668">
        <v>42280</v>
      </c>
      <c r="L668">
        <v>100479.29</v>
      </c>
      <c r="M668">
        <v>11432.06</v>
      </c>
      <c r="N668">
        <v>2.56</v>
      </c>
      <c r="O668">
        <v>108236.8</v>
      </c>
      <c r="P668">
        <v>12208.14</v>
      </c>
      <c r="Q668">
        <v>0</v>
      </c>
      <c r="R668">
        <v>0</v>
      </c>
      <c r="S668">
        <v>0.006</v>
      </c>
      <c r="T668" t="s">
        <v>25</v>
      </c>
    </row>
    <row r="669" spans="1:20" ht="15">
      <c r="A669" t="s">
        <v>19</v>
      </c>
      <c r="B669" t="s">
        <v>20</v>
      </c>
      <c r="C669" t="str">
        <f t="shared" si="10"/>
        <v>31-Dec-21</v>
      </c>
      <c r="D669" t="s">
        <v>21</v>
      </c>
      <c r="E669" t="s">
        <v>22</v>
      </c>
      <c r="F669" t="str">
        <f>"6913168"</f>
        <v>6913168</v>
      </c>
      <c r="G669" t="s">
        <v>700</v>
      </c>
      <c r="I669" t="s">
        <v>581</v>
      </c>
      <c r="J669">
        <v>0.112791041</v>
      </c>
      <c r="K669">
        <v>94000</v>
      </c>
      <c r="L669">
        <v>966254.55</v>
      </c>
      <c r="M669">
        <v>105911.7</v>
      </c>
      <c r="N669">
        <v>9.91</v>
      </c>
      <c r="O669">
        <v>931540</v>
      </c>
      <c r="P669">
        <v>105069.37</v>
      </c>
      <c r="Q669">
        <v>0</v>
      </c>
      <c r="R669">
        <v>0</v>
      </c>
      <c r="S669">
        <v>0.052</v>
      </c>
      <c r="T669" t="s">
        <v>25</v>
      </c>
    </row>
    <row r="670" spans="1:20" ht="15">
      <c r="A670" t="s">
        <v>19</v>
      </c>
      <c r="B670" t="s">
        <v>20</v>
      </c>
      <c r="C670" t="str">
        <f t="shared" si="10"/>
        <v>31-Dec-21</v>
      </c>
      <c r="D670" t="s">
        <v>21</v>
      </c>
      <c r="E670" t="s">
        <v>22</v>
      </c>
      <c r="F670" t="str">
        <f>"6388700"</f>
        <v>6388700</v>
      </c>
      <c r="G670" t="s">
        <v>701</v>
      </c>
      <c r="I670" t="s">
        <v>581</v>
      </c>
      <c r="J670">
        <v>0.112791041</v>
      </c>
      <c r="K670">
        <v>72000</v>
      </c>
      <c r="L670">
        <v>275905.17</v>
      </c>
      <c r="M670">
        <v>26138.94</v>
      </c>
      <c r="N670">
        <v>1.33</v>
      </c>
      <c r="O670">
        <v>95760</v>
      </c>
      <c r="P670">
        <v>10800.87</v>
      </c>
      <c r="Q670">
        <v>0</v>
      </c>
      <c r="R670">
        <v>0</v>
      </c>
      <c r="S670">
        <v>0.005</v>
      </c>
      <c r="T670" t="s">
        <v>25</v>
      </c>
    </row>
    <row r="671" spans="1:20" ht="15">
      <c r="A671" t="s">
        <v>19</v>
      </c>
      <c r="B671" t="s">
        <v>20</v>
      </c>
      <c r="C671" t="str">
        <f t="shared" si="10"/>
        <v>31-Dec-21</v>
      </c>
      <c r="D671" t="s">
        <v>21</v>
      </c>
      <c r="E671" t="s">
        <v>22</v>
      </c>
      <c r="F671" t="str">
        <f>"B433995"</f>
        <v>B433995</v>
      </c>
      <c r="G671" t="s">
        <v>702</v>
      </c>
      <c r="I671" t="s">
        <v>581</v>
      </c>
      <c r="J671">
        <v>0.112791041</v>
      </c>
      <c r="K671">
        <v>114800</v>
      </c>
      <c r="L671">
        <v>801245.45</v>
      </c>
      <c r="M671">
        <v>87923.65</v>
      </c>
      <c r="N671">
        <v>7.69</v>
      </c>
      <c r="O671">
        <v>882812</v>
      </c>
      <c r="P671">
        <v>99573.28</v>
      </c>
      <c r="Q671">
        <v>0</v>
      </c>
      <c r="R671">
        <v>0</v>
      </c>
      <c r="S671">
        <v>0.049</v>
      </c>
      <c r="T671" t="s">
        <v>25</v>
      </c>
    </row>
    <row r="672" spans="1:20" ht="15">
      <c r="A672" t="s">
        <v>19</v>
      </c>
      <c r="B672" t="s">
        <v>20</v>
      </c>
      <c r="C672" t="str">
        <f t="shared" si="10"/>
        <v>31-Dec-21</v>
      </c>
      <c r="D672" t="s">
        <v>21</v>
      </c>
      <c r="E672" t="s">
        <v>22</v>
      </c>
      <c r="F672" t="str">
        <f>"B19H8Y8"</f>
        <v>B19H8Y8</v>
      </c>
      <c r="G672" t="s">
        <v>703</v>
      </c>
      <c r="I672" t="s">
        <v>581</v>
      </c>
      <c r="J672">
        <v>0.112791041</v>
      </c>
      <c r="K672">
        <v>28000</v>
      </c>
      <c r="L672">
        <v>293869.02</v>
      </c>
      <c r="M672">
        <v>31817.92</v>
      </c>
      <c r="N672">
        <v>2.9</v>
      </c>
      <c r="O672">
        <v>81200</v>
      </c>
      <c r="P672">
        <v>9158.63</v>
      </c>
      <c r="Q672">
        <v>0</v>
      </c>
      <c r="R672">
        <v>0</v>
      </c>
      <c r="S672">
        <v>0.005</v>
      </c>
      <c r="T672" t="s">
        <v>25</v>
      </c>
    </row>
    <row r="673" spans="1:20" ht="15">
      <c r="A673" t="s">
        <v>19</v>
      </c>
      <c r="B673" t="s">
        <v>20</v>
      </c>
      <c r="C673" t="str">
        <f t="shared" si="10"/>
        <v>31-Dec-21</v>
      </c>
      <c r="D673" t="s">
        <v>21</v>
      </c>
      <c r="E673" t="s">
        <v>22</v>
      </c>
      <c r="F673" t="str">
        <f>"BD4GT29"</f>
        <v>BD4GT29</v>
      </c>
      <c r="G673" t="s">
        <v>704</v>
      </c>
      <c r="I673" t="s">
        <v>581</v>
      </c>
      <c r="J673">
        <v>0.112791041</v>
      </c>
      <c r="K673">
        <v>17800</v>
      </c>
      <c r="L673">
        <v>313450.75</v>
      </c>
      <c r="M673">
        <v>34097.65</v>
      </c>
      <c r="N673">
        <v>12.1</v>
      </c>
      <c r="O673">
        <v>215380</v>
      </c>
      <c r="P673">
        <v>24292.93</v>
      </c>
      <c r="Q673">
        <v>0</v>
      </c>
      <c r="R673">
        <v>0</v>
      </c>
      <c r="S673">
        <v>0.012</v>
      </c>
      <c r="T673" t="s">
        <v>25</v>
      </c>
    </row>
    <row r="674" spans="1:20" ht="15">
      <c r="A674" t="s">
        <v>19</v>
      </c>
      <c r="B674" t="s">
        <v>20</v>
      </c>
      <c r="C674" t="str">
        <f t="shared" si="10"/>
        <v>31-Dec-21</v>
      </c>
      <c r="D674" t="s">
        <v>21</v>
      </c>
      <c r="E674" t="s">
        <v>22</v>
      </c>
      <c r="F674" t="str">
        <f>"BGN9715"</f>
        <v>BGN9715</v>
      </c>
      <c r="G674" t="s">
        <v>705</v>
      </c>
      <c r="I674" t="s">
        <v>581</v>
      </c>
      <c r="J674">
        <v>0.112791041</v>
      </c>
      <c r="K674">
        <v>33000</v>
      </c>
      <c r="L674">
        <v>1518188.32</v>
      </c>
      <c r="M674">
        <v>166264.46</v>
      </c>
      <c r="N674">
        <v>17.6</v>
      </c>
      <c r="O674">
        <v>580800</v>
      </c>
      <c r="P674">
        <v>65509.04</v>
      </c>
      <c r="Q674">
        <v>0</v>
      </c>
      <c r="R674">
        <v>0</v>
      </c>
      <c r="S674">
        <v>0.032</v>
      </c>
      <c r="T674" t="s">
        <v>25</v>
      </c>
    </row>
    <row r="675" spans="1:20" ht="15">
      <c r="A675" t="s">
        <v>19</v>
      </c>
      <c r="B675" t="s">
        <v>20</v>
      </c>
      <c r="C675" t="str">
        <f t="shared" si="10"/>
        <v>31-Dec-21</v>
      </c>
      <c r="D675" t="s">
        <v>21</v>
      </c>
      <c r="E675" t="s">
        <v>22</v>
      </c>
      <c r="F675" t="str">
        <f>"BLD4QD0"</f>
        <v>BLD4QD0</v>
      </c>
      <c r="G675" t="s">
        <v>706</v>
      </c>
      <c r="I675" t="s">
        <v>581</v>
      </c>
      <c r="J675">
        <v>0.112791041</v>
      </c>
      <c r="K675">
        <v>73200</v>
      </c>
      <c r="L675">
        <v>953083.88</v>
      </c>
      <c r="M675">
        <v>103496.47</v>
      </c>
      <c r="N675">
        <v>32.95</v>
      </c>
      <c r="O675">
        <v>2411940</v>
      </c>
      <c r="P675">
        <v>272045.22</v>
      </c>
      <c r="Q675">
        <v>0</v>
      </c>
      <c r="R675">
        <v>0</v>
      </c>
      <c r="S675">
        <v>0.135</v>
      </c>
      <c r="T675" t="s">
        <v>25</v>
      </c>
    </row>
    <row r="676" spans="1:20" ht="15">
      <c r="A676" t="s">
        <v>19</v>
      </c>
      <c r="B676" t="s">
        <v>20</v>
      </c>
      <c r="C676" t="str">
        <f t="shared" si="10"/>
        <v>31-Dec-21</v>
      </c>
      <c r="D676" t="s">
        <v>21</v>
      </c>
      <c r="E676" t="s">
        <v>22</v>
      </c>
      <c r="F676" t="str">
        <f>"B1L2RC2"</f>
        <v>B1L2RC2</v>
      </c>
      <c r="G676" t="s">
        <v>707</v>
      </c>
      <c r="I676" t="s">
        <v>581</v>
      </c>
      <c r="J676">
        <v>0.112791041</v>
      </c>
      <c r="K676">
        <v>21000</v>
      </c>
      <c r="L676">
        <v>349336.85</v>
      </c>
      <c r="M676">
        <v>34800.35</v>
      </c>
      <c r="N676">
        <v>21.65</v>
      </c>
      <c r="O676">
        <v>454650</v>
      </c>
      <c r="P676">
        <v>51280.45</v>
      </c>
      <c r="Q676">
        <v>0</v>
      </c>
      <c r="R676">
        <v>0</v>
      </c>
      <c r="S676">
        <v>0.025</v>
      </c>
      <c r="T676" t="s">
        <v>25</v>
      </c>
    </row>
    <row r="677" spans="1:20" ht="15">
      <c r="A677" t="s">
        <v>19</v>
      </c>
      <c r="B677" t="s">
        <v>20</v>
      </c>
      <c r="C677" t="str">
        <f t="shared" si="10"/>
        <v>31-Dec-21</v>
      </c>
      <c r="D677" t="s">
        <v>21</v>
      </c>
      <c r="E677" t="s">
        <v>22</v>
      </c>
      <c r="F677" t="str">
        <f>"B71SXC4"</f>
        <v>B71SXC4</v>
      </c>
      <c r="G677" t="s">
        <v>708</v>
      </c>
      <c r="I677" t="s">
        <v>581</v>
      </c>
      <c r="J677">
        <v>0.112791041</v>
      </c>
      <c r="K677">
        <v>98400</v>
      </c>
      <c r="L677">
        <v>1571102.48</v>
      </c>
      <c r="M677">
        <v>175990.92</v>
      </c>
      <c r="N677">
        <v>6.91</v>
      </c>
      <c r="O677">
        <v>679944</v>
      </c>
      <c r="P677">
        <v>76691.59</v>
      </c>
      <c r="Q677">
        <v>0</v>
      </c>
      <c r="R677">
        <v>0</v>
      </c>
      <c r="S677">
        <v>0.038</v>
      </c>
      <c r="T677" t="s">
        <v>25</v>
      </c>
    </row>
    <row r="678" spans="1:20" ht="15">
      <c r="A678" t="s">
        <v>19</v>
      </c>
      <c r="B678" t="s">
        <v>20</v>
      </c>
      <c r="C678" t="str">
        <f t="shared" si="10"/>
        <v>31-Dec-21</v>
      </c>
      <c r="D678" t="s">
        <v>21</v>
      </c>
      <c r="E678" t="s">
        <v>22</v>
      </c>
      <c r="F678" t="str">
        <f>"BRJ8XY8"</f>
        <v>BRJ8XY8</v>
      </c>
      <c r="G678" t="s">
        <v>709</v>
      </c>
      <c r="I678" t="s">
        <v>581</v>
      </c>
      <c r="J678">
        <v>0.112791041</v>
      </c>
      <c r="K678">
        <v>400100</v>
      </c>
      <c r="L678">
        <v>761805.43</v>
      </c>
      <c r="M678">
        <v>80900.61</v>
      </c>
      <c r="N678">
        <v>0</v>
      </c>
      <c r="O678">
        <v>0.4</v>
      </c>
      <c r="P678">
        <v>0.05</v>
      </c>
      <c r="Q678">
        <v>0</v>
      </c>
      <c r="R678">
        <v>0</v>
      </c>
      <c r="S678">
        <v>0</v>
      </c>
      <c r="T678" t="s">
        <v>25</v>
      </c>
    </row>
    <row r="679" spans="1:20" ht="15">
      <c r="A679" t="s">
        <v>19</v>
      </c>
      <c r="B679" t="s">
        <v>20</v>
      </c>
      <c r="C679" t="str">
        <f t="shared" si="10"/>
        <v>31-Dec-21</v>
      </c>
      <c r="D679" t="s">
        <v>21</v>
      </c>
      <c r="E679" t="s">
        <v>22</v>
      </c>
      <c r="F679" t="str">
        <f>"BMZC7F8"</f>
        <v>BMZC7F8</v>
      </c>
      <c r="G679" t="s">
        <v>710</v>
      </c>
      <c r="I679" t="s">
        <v>581</v>
      </c>
      <c r="J679">
        <v>0.112791041</v>
      </c>
      <c r="K679">
        <v>4800</v>
      </c>
      <c r="L679">
        <v>812042.95</v>
      </c>
      <c r="M679">
        <v>85619.65</v>
      </c>
      <c r="N679">
        <v>99</v>
      </c>
      <c r="O679">
        <v>475200</v>
      </c>
      <c r="P679">
        <v>53598.3</v>
      </c>
      <c r="Q679">
        <v>0</v>
      </c>
      <c r="R679">
        <v>0</v>
      </c>
      <c r="S679">
        <v>0.027</v>
      </c>
      <c r="T679" t="s">
        <v>25</v>
      </c>
    </row>
    <row r="680" spans="1:20" ht="15">
      <c r="A680" t="s">
        <v>19</v>
      </c>
      <c r="B680" t="s">
        <v>20</v>
      </c>
      <c r="C680" t="str">
        <f t="shared" si="10"/>
        <v>31-Dec-21</v>
      </c>
      <c r="D680" t="s">
        <v>21</v>
      </c>
      <c r="E680" t="s">
        <v>22</v>
      </c>
      <c r="F680" t="str">
        <f>"BJYKB72"</f>
        <v>BJYKB72</v>
      </c>
      <c r="G680" t="s">
        <v>711</v>
      </c>
      <c r="I680" t="s">
        <v>581</v>
      </c>
      <c r="J680">
        <v>0.112791041</v>
      </c>
      <c r="K680">
        <v>38000</v>
      </c>
      <c r="L680">
        <v>1015449.67</v>
      </c>
      <c r="M680">
        <v>116797.17</v>
      </c>
      <c r="N680">
        <v>19</v>
      </c>
      <c r="O680">
        <v>722000</v>
      </c>
      <c r="P680">
        <v>81435.13</v>
      </c>
      <c r="Q680">
        <v>0</v>
      </c>
      <c r="R680">
        <v>0</v>
      </c>
      <c r="S680">
        <v>0.04</v>
      </c>
      <c r="T680" t="s">
        <v>25</v>
      </c>
    </row>
    <row r="681" spans="1:20" ht="15">
      <c r="A681" t="s">
        <v>19</v>
      </c>
      <c r="B681" t="s">
        <v>20</v>
      </c>
      <c r="C681" t="str">
        <f t="shared" si="10"/>
        <v>31-Dec-21</v>
      </c>
      <c r="D681" t="s">
        <v>21</v>
      </c>
      <c r="E681" t="s">
        <v>22</v>
      </c>
      <c r="F681" t="str">
        <f>"BF5L8M0"</f>
        <v>BF5L8M0</v>
      </c>
      <c r="G681" t="s">
        <v>712</v>
      </c>
      <c r="I681" t="s">
        <v>581</v>
      </c>
      <c r="J681">
        <v>0.112791041</v>
      </c>
      <c r="K681">
        <v>5750</v>
      </c>
      <c r="L681">
        <v>199047.51</v>
      </c>
      <c r="M681">
        <v>21558.58</v>
      </c>
      <c r="N681">
        <v>12.08</v>
      </c>
      <c r="O681">
        <v>69460</v>
      </c>
      <c r="P681">
        <v>7834.47</v>
      </c>
      <c r="Q681">
        <v>0</v>
      </c>
      <c r="R681">
        <v>0</v>
      </c>
      <c r="S681">
        <v>0.004</v>
      </c>
      <c r="T681" t="s">
        <v>25</v>
      </c>
    </row>
    <row r="682" spans="1:20" ht="15">
      <c r="A682" t="s">
        <v>19</v>
      </c>
      <c r="B682" t="s">
        <v>20</v>
      </c>
      <c r="C682" t="str">
        <f t="shared" si="10"/>
        <v>31-Dec-21</v>
      </c>
      <c r="D682" t="s">
        <v>21</v>
      </c>
      <c r="E682" t="s">
        <v>22</v>
      </c>
      <c r="F682" t="str">
        <f>"BMDMJ87"</f>
        <v>BMDMJ87</v>
      </c>
      <c r="G682" t="s">
        <v>713</v>
      </c>
      <c r="I682" t="s">
        <v>581</v>
      </c>
      <c r="J682">
        <v>0.112791041</v>
      </c>
      <c r="K682">
        <v>92800</v>
      </c>
      <c r="L682">
        <v>140959.31</v>
      </c>
      <c r="M682">
        <v>16153.08</v>
      </c>
      <c r="N682">
        <v>2.95</v>
      </c>
      <c r="O682">
        <v>273760</v>
      </c>
      <c r="P682">
        <v>30877.68</v>
      </c>
      <c r="Q682">
        <v>0</v>
      </c>
      <c r="R682">
        <v>0</v>
      </c>
      <c r="S682">
        <v>0.015</v>
      </c>
      <c r="T682" t="s">
        <v>25</v>
      </c>
    </row>
    <row r="683" spans="1:20" ht="15">
      <c r="A683" t="s">
        <v>19</v>
      </c>
      <c r="B683" t="s">
        <v>20</v>
      </c>
      <c r="C683" t="str">
        <f t="shared" si="10"/>
        <v>31-Dec-21</v>
      </c>
      <c r="D683" t="s">
        <v>21</v>
      </c>
      <c r="E683" t="s">
        <v>22</v>
      </c>
      <c r="F683" t="str">
        <f>"6136233"</f>
        <v>6136233</v>
      </c>
      <c r="G683" t="s">
        <v>714</v>
      </c>
      <c r="I683" t="s">
        <v>581</v>
      </c>
      <c r="J683">
        <v>0.112791041</v>
      </c>
      <c r="K683">
        <v>23000</v>
      </c>
      <c r="L683">
        <v>1769295.07</v>
      </c>
      <c r="M683">
        <v>185540.95</v>
      </c>
      <c r="N683">
        <v>40.15</v>
      </c>
      <c r="O683">
        <v>923450</v>
      </c>
      <c r="P683">
        <v>104156.89</v>
      </c>
      <c r="Q683">
        <v>0</v>
      </c>
      <c r="R683">
        <v>0</v>
      </c>
      <c r="S683">
        <v>0.052</v>
      </c>
      <c r="T683" t="s">
        <v>25</v>
      </c>
    </row>
    <row r="684" spans="1:20" ht="15">
      <c r="A684" t="s">
        <v>19</v>
      </c>
      <c r="B684" t="s">
        <v>20</v>
      </c>
      <c r="C684" t="str">
        <f t="shared" si="10"/>
        <v>31-Dec-21</v>
      </c>
      <c r="D684" t="s">
        <v>21</v>
      </c>
      <c r="E684" t="s">
        <v>22</v>
      </c>
      <c r="F684" t="str">
        <f>"BMXJW56"</f>
        <v>BMXJW56</v>
      </c>
      <c r="G684" t="s">
        <v>715</v>
      </c>
      <c r="I684" t="s">
        <v>581</v>
      </c>
      <c r="J684">
        <v>0.112791041</v>
      </c>
      <c r="K684">
        <v>18400</v>
      </c>
      <c r="L684">
        <v>181559.03</v>
      </c>
      <c r="M684">
        <v>20032.88</v>
      </c>
      <c r="N684">
        <v>16.26</v>
      </c>
      <c r="O684">
        <v>299184</v>
      </c>
      <c r="P684">
        <v>33745.27</v>
      </c>
      <c r="Q684">
        <v>0</v>
      </c>
      <c r="R684">
        <v>0</v>
      </c>
      <c r="S684">
        <v>0.017</v>
      </c>
      <c r="T684" t="s">
        <v>25</v>
      </c>
    </row>
    <row r="685" spans="1:20" ht="15">
      <c r="A685" t="s">
        <v>19</v>
      </c>
      <c r="B685" t="s">
        <v>20</v>
      </c>
      <c r="C685" t="str">
        <f t="shared" si="10"/>
        <v>31-Dec-21</v>
      </c>
      <c r="D685" t="s">
        <v>21</v>
      </c>
      <c r="E685" t="s">
        <v>22</v>
      </c>
      <c r="F685" t="str">
        <f>"BRB3857"</f>
        <v>BRB3857</v>
      </c>
      <c r="G685" t="s">
        <v>716</v>
      </c>
      <c r="I685" t="s">
        <v>581</v>
      </c>
      <c r="J685">
        <v>0.112791041</v>
      </c>
      <c r="K685">
        <v>18000</v>
      </c>
      <c r="L685">
        <v>538745.95</v>
      </c>
      <c r="M685">
        <v>58508.22</v>
      </c>
      <c r="N685">
        <v>43</v>
      </c>
      <c r="O685">
        <v>774000</v>
      </c>
      <c r="P685">
        <v>87300.27</v>
      </c>
      <c r="Q685">
        <v>0</v>
      </c>
      <c r="R685">
        <v>0</v>
      </c>
      <c r="S685">
        <v>0.043</v>
      </c>
      <c r="T685" t="s">
        <v>25</v>
      </c>
    </row>
    <row r="686" spans="1:20" ht="15">
      <c r="A686" t="s">
        <v>19</v>
      </c>
      <c r="B686" t="s">
        <v>20</v>
      </c>
      <c r="C686" t="str">
        <f t="shared" si="10"/>
        <v>31-Dec-21</v>
      </c>
      <c r="D686" t="s">
        <v>21</v>
      </c>
      <c r="E686" t="s">
        <v>22</v>
      </c>
      <c r="F686" t="str">
        <f>"6142780"</f>
        <v>6142780</v>
      </c>
      <c r="G686" t="s">
        <v>717</v>
      </c>
      <c r="I686" t="s">
        <v>581</v>
      </c>
      <c r="J686">
        <v>0.112791041</v>
      </c>
      <c r="K686">
        <v>68000</v>
      </c>
      <c r="L686">
        <v>226789.21</v>
      </c>
      <c r="M686">
        <v>21486.54</v>
      </c>
      <c r="N686">
        <v>3.4</v>
      </c>
      <c r="O686">
        <v>231200</v>
      </c>
      <c r="P686">
        <v>26077.29</v>
      </c>
      <c r="Q686">
        <v>0</v>
      </c>
      <c r="R686">
        <v>0</v>
      </c>
      <c r="S686">
        <v>0.013</v>
      </c>
      <c r="T686" t="s">
        <v>25</v>
      </c>
    </row>
    <row r="687" spans="1:20" ht="15">
      <c r="A687" t="s">
        <v>19</v>
      </c>
      <c r="B687" t="s">
        <v>20</v>
      </c>
      <c r="C687" t="str">
        <f t="shared" si="10"/>
        <v>31-Dec-21</v>
      </c>
      <c r="D687" t="s">
        <v>21</v>
      </c>
      <c r="E687" t="s">
        <v>22</v>
      </c>
      <c r="F687" t="str">
        <f>"6099671"</f>
        <v>6099671</v>
      </c>
      <c r="G687" t="s">
        <v>718</v>
      </c>
      <c r="I687" t="s">
        <v>581</v>
      </c>
      <c r="J687">
        <v>0.112791041</v>
      </c>
      <c r="K687">
        <v>118000</v>
      </c>
      <c r="L687">
        <v>785208.99</v>
      </c>
      <c r="M687">
        <v>82517.79</v>
      </c>
      <c r="N687">
        <v>5.21</v>
      </c>
      <c r="O687">
        <v>614780</v>
      </c>
      <c r="P687">
        <v>69341.68</v>
      </c>
      <c r="Q687">
        <v>0</v>
      </c>
      <c r="R687">
        <v>0</v>
      </c>
      <c r="S687">
        <v>0.034</v>
      </c>
      <c r="T687" t="s">
        <v>25</v>
      </c>
    </row>
    <row r="688" spans="1:20" ht="15">
      <c r="A688" t="s">
        <v>19</v>
      </c>
      <c r="B688" t="s">
        <v>20</v>
      </c>
      <c r="C688" t="str">
        <f t="shared" si="10"/>
        <v>31-Dec-21</v>
      </c>
      <c r="D688" t="s">
        <v>21</v>
      </c>
      <c r="E688" t="s">
        <v>22</v>
      </c>
      <c r="F688" t="str">
        <f>"BWVFT00"</f>
        <v>BWVFT00</v>
      </c>
      <c r="G688" t="s">
        <v>719</v>
      </c>
      <c r="I688" t="s">
        <v>581</v>
      </c>
      <c r="J688">
        <v>0.112791041</v>
      </c>
      <c r="K688">
        <v>59000</v>
      </c>
      <c r="L688">
        <v>1163419.16</v>
      </c>
      <c r="M688">
        <v>132271.56</v>
      </c>
      <c r="N688">
        <v>12.98</v>
      </c>
      <c r="O688">
        <v>765820</v>
      </c>
      <c r="P688">
        <v>86377.64</v>
      </c>
      <c r="Q688">
        <v>0</v>
      </c>
      <c r="R688">
        <v>0</v>
      </c>
      <c r="S688">
        <v>0.043</v>
      </c>
      <c r="T688" t="s">
        <v>25</v>
      </c>
    </row>
    <row r="689" spans="1:20" ht="15">
      <c r="A689" t="s">
        <v>19</v>
      </c>
      <c r="B689" t="s">
        <v>20</v>
      </c>
      <c r="C689" t="str">
        <f t="shared" si="10"/>
        <v>31-Dec-21</v>
      </c>
      <c r="D689" t="s">
        <v>21</v>
      </c>
      <c r="E689" t="s">
        <v>22</v>
      </c>
      <c r="F689" t="str">
        <f>"BMX09H0"</f>
        <v>BMX09H0</v>
      </c>
      <c r="G689" t="s">
        <v>720</v>
      </c>
      <c r="I689" t="s">
        <v>581</v>
      </c>
      <c r="J689">
        <v>0.112791041</v>
      </c>
      <c r="K689">
        <v>8400</v>
      </c>
      <c r="L689">
        <v>557338.6</v>
      </c>
      <c r="M689">
        <v>62359.51</v>
      </c>
      <c r="N689">
        <v>48.8</v>
      </c>
      <c r="O689">
        <v>409920</v>
      </c>
      <c r="P689">
        <v>46235.3</v>
      </c>
      <c r="Q689">
        <v>0</v>
      </c>
      <c r="R689">
        <v>0</v>
      </c>
      <c r="S689">
        <v>0.023</v>
      </c>
      <c r="T689" t="s">
        <v>25</v>
      </c>
    </row>
    <row r="690" spans="1:20" ht="15">
      <c r="A690" t="s">
        <v>19</v>
      </c>
      <c r="B690" t="s">
        <v>20</v>
      </c>
      <c r="C690" t="str">
        <f t="shared" si="10"/>
        <v>31-Dec-21</v>
      </c>
      <c r="D690" t="s">
        <v>21</v>
      </c>
      <c r="E690" t="s">
        <v>22</v>
      </c>
      <c r="F690" t="str">
        <f>"B1G1QD8"</f>
        <v>B1G1QD8</v>
      </c>
      <c r="G690" t="s">
        <v>721</v>
      </c>
      <c r="I690" t="s">
        <v>581</v>
      </c>
      <c r="J690">
        <v>0.112791041</v>
      </c>
      <c r="K690">
        <v>2545500</v>
      </c>
      <c r="L690">
        <v>13703798.84</v>
      </c>
      <c r="M690">
        <v>1491420.44</v>
      </c>
      <c r="N690">
        <v>4.4</v>
      </c>
      <c r="O690">
        <v>11200200</v>
      </c>
      <c r="P690">
        <v>1263282.22</v>
      </c>
      <c r="Q690">
        <v>0</v>
      </c>
      <c r="R690">
        <v>0</v>
      </c>
      <c r="S690">
        <v>0.626</v>
      </c>
      <c r="T690" t="s">
        <v>25</v>
      </c>
    </row>
    <row r="691" spans="1:20" ht="15">
      <c r="A691" t="s">
        <v>19</v>
      </c>
      <c r="B691" t="s">
        <v>20</v>
      </c>
      <c r="C691" t="str">
        <f t="shared" si="10"/>
        <v>31-Dec-21</v>
      </c>
      <c r="D691" t="s">
        <v>21</v>
      </c>
      <c r="E691" t="s">
        <v>22</v>
      </c>
      <c r="F691" t="str">
        <f>"BGR6KX5"</f>
        <v>BGR6KX5</v>
      </c>
      <c r="G691" t="s">
        <v>722</v>
      </c>
      <c r="I691" t="s">
        <v>581</v>
      </c>
      <c r="J691">
        <v>0.112791041</v>
      </c>
      <c r="K691">
        <v>41000</v>
      </c>
      <c r="L691">
        <v>1139203.12</v>
      </c>
      <c r="M691">
        <v>129072.6</v>
      </c>
      <c r="N691">
        <v>48.25</v>
      </c>
      <c r="O691">
        <v>1978250</v>
      </c>
      <c r="P691">
        <v>223128.88</v>
      </c>
      <c r="Q691">
        <v>0</v>
      </c>
      <c r="R691">
        <v>0</v>
      </c>
      <c r="S691">
        <v>0.111</v>
      </c>
      <c r="T691" t="s">
        <v>25</v>
      </c>
    </row>
    <row r="692" spans="1:20" ht="15">
      <c r="A692" t="s">
        <v>19</v>
      </c>
      <c r="B692" t="s">
        <v>20</v>
      </c>
      <c r="C692" t="str">
        <f t="shared" si="10"/>
        <v>31-Dec-21</v>
      </c>
      <c r="D692" t="s">
        <v>21</v>
      </c>
      <c r="E692" t="s">
        <v>22</v>
      </c>
      <c r="F692" t="str">
        <f>"BMW8R04"</f>
        <v>BMW8R04</v>
      </c>
      <c r="G692" t="s">
        <v>723</v>
      </c>
      <c r="I692" t="s">
        <v>581</v>
      </c>
      <c r="J692">
        <v>0.112791041</v>
      </c>
      <c r="K692">
        <v>22450</v>
      </c>
      <c r="L692">
        <v>2294058.05</v>
      </c>
      <c r="M692">
        <v>246797.42</v>
      </c>
      <c r="N692">
        <v>61.45</v>
      </c>
      <c r="O692">
        <v>1379552.5</v>
      </c>
      <c r="P692">
        <v>155601.16</v>
      </c>
      <c r="Q692">
        <v>0</v>
      </c>
      <c r="R692">
        <v>0</v>
      </c>
      <c r="S692">
        <v>0.077</v>
      </c>
      <c r="T692" t="s">
        <v>25</v>
      </c>
    </row>
    <row r="693" spans="1:20" ht="15">
      <c r="A693" t="s">
        <v>19</v>
      </c>
      <c r="B693" t="s">
        <v>20</v>
      </c>
      <c r="C693" t="str">
        <f t="shared" si="10"/>
        <v>31-Dec-21</v>
      </c>
      <c r="D693" t="s">
        <v>21</v>
      </c>
      <c r="E693" t="s">
        <v>22</v>
      </c>
      <c r="F693" t="str">
        <f>"BKPQZT6"</f>
        <v>BKPQZT6</v>
      </c>
      <c r="G693" t="s">
        <v>724</v>
      </c>
      <c r="I693" t="s">
        <v>581</v>
      </c>
      <c r="J693">
        <v>0.112791041</v>
      </c>
      <c r="K693">
        <v>40600</v>
      </c>
      <c r="L693">
        <v>11806480</v>
      </c>
      <c r="M693">
        <v>1292436.27</v>
      </c>
      <c r="N693">
        <v>274</v>
      </c>
      <c r="O693">
        <v>11124400</v>
      </c>
      <c r="P693">
        <v>1254732.66</v>
      </c>
      <c r="Q693">
        <v>0</v>
      </c>
      <c r="R693">
        <v>0</v>
      </c>
      <c r="S693">
        <v>0.622</v>
      </c>
      <c r="T693" t="s">
        <v>25</v>
      </c>
    </row>
    <row r="694" spans="1:20" ht="15">
      <c r="A694" t="s">
        <v>19</v>
      </c>
      <c r="B694" t="s">
        <v>20</v>
      </c>
      <c r="C694" t="str">
        <f t="shared" si="10"/>
        <v>31-Dec-21</v>
      </c>
      <c r="D694" t="s">
        <v>21</v>
      </c>
      <c r="E694" t="s">
        <v>22</v>
      </c>
      <c r="F694" t="str">
        <f>"6005504"</f>
        <v>6005504</v>
      </c>
      <c r="G694" t="s">
        <v>725</v>
      </c>
      <c r="I694" t="s">
        <v>581</v>
      </c>
      <c r="J694">
        <v>0.112791041</v>
      </c>
      <c r="K694">
        <v>52000</v>
      </c>
      <c r="L694">
        <v>519476.12</v>
      </c>
      <c r="M694">
        <v>54053.74</v>
      </c>
      <c r="N694">
        <v>7.99</v>
      </c>
      <c r="O694">
        <v>415480</v>
      </c>
      <c r="P694">
        <v>46862.42</v>
      </c>
      <c r="Q694">
        <v>0</v>
      </c>
      <c r="R694">
        <v>0</v>
      </c>
      <c r="S694">
        <v>0.023</v>
      </c>
      <c r="T694" t="s">
        <v>25</v>
      </c>
    </row>
    <row r="695" spans="1:20" ht="15">
      <c r="A695" t="s">
        <v>19</v>
      </c>
      <c r="B695" t="s">
        <v>20</v>
      </c>
      <c r="C695" t="str">
        <f t="shared" si="10"/>
        <v>31-Dec-21</v>
      </c>
      <c r="D695" t="s">
        <v>21</v>
      </c>
      <c r="E695" t="s">
        <v>22</v>
      </c>
      <c r="F695" t="str">
        <f>"6000305"</f>
        <v>6000305</v>
      </c>
      <c r="G695" t="s">
        <v>726</v>
      </c>
      <c r="I695" t="s">
        <v>581</v>
      </c>
      <c r="J695">
        <v>0.112791041</v>
      </c>
      <c r="K695">
        <v>44000</v>
      </c>
      <c r="L695">
        <v>534082.73</v>
      </c>
      <c r="M695">
        <v>55387.75</v>
      </c>
      <c r="N695">
        <v>12.48</v>
      </c>
      <c r="O695">
        <v>549120</v>
      </c>
      <c r="P695">
        <v>61935.82</v>
      </c>
      <c r="Q695">
        <v>0</v>
      </c>
      <c r="R695">
        <v>0</v>
      </c>
      <c r="S695">
        <v>0.031</v>
      </c>
      <c r="T695" t="s">
        <v>25</v>
      </c>
    </row>
    <row r="696" spans="1:20" ht="15">
      <c r="A696" t="s">
        <v>19</v>
      </c>
      <c r="B696" t="s">
        <v>20</v>
      </c>
      <c r="C696" t="str">
        <f t="shared" si="10"/>
        <v>31-Dec-21</v>
      </c>
      <c r="D696" t="s">
        <v>21</v>
      </c>
      <c r="E696" t="s">
        <v>22</v>
      </c>
      <c r="F696" t="str">
        <f>"BD39D16"</f>
        <v>BD39D16</v>
      </c>
      <c r="G696" t="s">
        <v>727</v>
      </c>
      <c r="I696" t="s">
        <v>581</v>
      </c>
      <c r="J696">
        <v>0.112791041</v>
      </c>
      <c r="K696">
        <v>48260</v>
      </c>
      <c r="L696">
        <v>716431.7</v>
      </c>
      <c r="M696">
        <v>78079.25</v>
      </c>
      <c r="N696">
        <v>2.63</v>
      </c>
      <c r="O696">
        <v>126923.8</v>
      </c>
      <c r="P696">
        <v>14315.87</v>
      </c>
      <c r="Q696">
        <v>0</v>
      </c>
      <c r="R696">
        <v>0</v>
      </c>
      <c r="S696">
        <v>0.007</v>
      </c>
      <c r="T696" t="s">
        <v>25</v>
      </c>
    </row>
    <row r="697" spans="1:20" ht="15">
      <c r="A697" t="s">
        <v>19</v>
      </c>
      <c r="B697" t="s">
        <v>20</v>
      </c>
      <c r="C697" t="str">
        <f t="shared" si="10"/>
        <v>31-Dec-21</v>
      </c>
      <c r="D697" t="s">
        <v>21</v>
      </c>
      <c r="E697" t="s">
        <v>22</v>
      </c>
      <c r="F697" t="str">
        <f>"BJ9JY53"</f>
        <v>BJ9JY53</v>
      </c>
      <c r="G697" t="s">
        <v>728</v>
      </c>
      <c r="I697" t="s">
        <v>581</v>
      </c>
      <c r="J697">
        <v>0.112791041</v>
      </c>
      <c r="K697">
        <v>47000</v>
      </c>
      <c r="L697">
        <v>620324.86</v>
      </c>
      <c r="M697">
        <v>71003.79</v>
      </c>
      <c r="N697">
        <v>8.71</v>
      </c>
      <c r="O697">
        <v>409370</v>
      </c>
      <c r="P697">
        <v>46173.27</v>
      </c>
      <c r="Q697">
        <v>0</v>
      </c>
      <c r="R697">
        <v>0</v>
      </c>
      <c r="S697">
        <v>0.023</v>
      </c>
      <c r="T697" t="s">
        <v>25</v>
      </c>
    </row>
    <row r="698" spans="1:20" ht="15">
      <c r="A698" t="s">
        <v>19</v>
      </c>
      <c r="B698" t="s">
        <v>20</v>
      </c>
      <c r="C698" t="str">
        <f t="shared" si="10"/>
        <v>31-Dec-21</v>
      </c>
      <c r="D698" t="s">
        <v>21</v>
      </c>
      <c r="E698" t="s">
        <v>22</v>
      </c>
      <c r="F698" t="str">
        <f>"BLBFH65"</f>
        <v>BLBFH65</v>
      </c>
      <c r="G698" t="s">
        <v>729</v>
      </c>
      <c r="I698" t="s">
        <v>581</v>
      </c>
      <c r="J698">
        <v>0.112791041</v>
      </c>
      <c r="K698">
        <v>14000</v>
      </c>
      <c r="L698">
        <v>264737.22</v>
      </c>
      <c r="M698">
        <v>29951.59</v>
      </c>
      <c r="N698">
        <v>13.7</v>
      </c>
      <c r="O698">
        <v>191800</v>
      </c>
      <c r="P698">
        <v>21633.32</v>
      </c>
      <c r="Q698">
        <v>0</v>
      </c>
      <c r="R698">
        <v>0</v>
      </c>
      <c r="S698">
        <v>0.011</v>
      </c>
      <c r="T698" t="s">
        <v>25</v>
      </c>
    </row>
    <row r="699" spans="1:20" ht="15">
      <c r="A699" t="s">
        <v>19</v>
      </c>
      <c r="B699" t="s">
        <v>20</v>
      </c>
      <c r="C699" t="str">
        <f t="shared" si="10"/>
        <v>31-Dec-21</v>
      </c>
      <c r="D699" t="s">
        <v>21</v>
      </c>
      <c r="E699" t="s">
        <v>22</v>
      </c>
      <c r="F699" t="str">
        <f>"B1YBF00"</f>
        <v>B1YBF00</v>
      </c>
      <c r="G699" t="s">
        <v>730</v>
      </c>
      <c r="I699" t="s">
        <v>581</v>
      </c>
      <c r="J699">
        <v>0.112791041</v>
      </c>
      <c r="K699">
        <v>49680</v>
      </c>
      <c r="L699">
        <v>201080.06</v>
      </c>
      <c r="M699">
        <v>22745.55</v>
      </c>
      <c r="N699">
        <v>5.1</v>
      </c>
      <c r="O699">
        <v>253368</v>
      </c>
      <c r="P699">
        <v>28577.64</v>
      </c>
      <c r="Q699">
        <v>30632.53</v>
      </c>
      <c r="R699">
        <v>3455.07</v>
      </c>
      <c r="S699">
        <v>0.016</v>
      </c>
      <c r="T699" t="s">
        <v>25</v>
      </c>
    </row>
    <row r="700" spans="1:20" ht="15">
      <c r="A700" t="s">
        <v>19</v>
      </c>
      <c r="B700" t="s">
        <v>20</v>
      </c>
      <c r="C700" t="str">
        <f t="shared" si="10"/>
        <v>31-Dec-21</v>
      </c>
      <c r="D700" t="s">
        <v>21</v>
      </c>
      <c r="E700" t="s">
        <v>22</v>
      </c>
      <c r="F700" t="str">
        <f>"6491318"</f>
        <v>6491318</v>
      </c>
      <c r="G700" t="s">
        <v>731</v>
      </c>
      <c r="I700" t="s">
        <v>581</v>
      </c>
      <c r="J700">
        <v>0.112791041</v>
      </c>
      <c r="K700">
        <v>20000</v>
      </c>
      <c r="L700">
        <v>457582.49</v>
      </c>
      <c r="M700">
        <v>48668.19</v>
      </c>
      <c r="N700">
        <v>37.95</v>
      </c>
      <c r="O700">
        <v>759000</v>
      </c>
      <c r="P700">
        <v>85608.4</v>
      </c>
      <c r="Q700">
        <v>11200</v>
      </c>
      <c r="R700">
        <v>1263.26</v>
      </c>
      <c r="S700">
        <v>0.043</v>
      </c>
      <c r="T700" t="s">
        <v>25</v>
      </c>
    </row>
    <row r="701" spans="1:20" ht="15">
      <c r="A701" t="s">
        <v>19</v>
      </c>
      <c r="B701" t="s">
        <v>20</v>
      </c>
      <c r="C701" t="str">
        <f t="shared" si="10"/>
        <v>31-Dec-21</v>
      </c>
      <c r="D701" t="s">
        <v>21</v>
      </c>
      <c r="E701" t="s">
        <v>22</v>
      </c>
      <c r="F701" t="str">
        <f>"B1HHFV6"</f>
        <v>B1HHFV6</v>
      </c>
      <c r="G701" t="s">
        <v>732</v>
      </c>
      <c r="I701" t="s">
        <v>581</v>
      </c>
      <c r="J701">
        <v>0.112791041</v>
      </c>
      <c r="K701">
        <v>37700</v>
      </c>
      <c r="L701">
        <v>285873.06</v>
      </c>
      <c r="M701">
        <v>31205.41</v>
      </c>
      <c r="N701">
        <v>13.26</v>
      </c>
      <c r="O701">
        <v>499902</v>
      </c>
      <c r="P701">
        <v>56384.47</v>
      </c>
      <c r="Q701">
        <v>11310</v>
      </c>
      <c r="R701">
        <v>1275.67</v>
      </c>
      <c r="S701">
        <v>0.029</v>
      </c>
      <c r="T701" t="s">
        <v>25</v>
      </c>
    </row>
    <row r="702" spans="1:20" ht="15">
      <c r="A702" t="s">
        <v>19</v>
      </c>
      <c r="B702" t="s">
        <v>20</v>
      </c>
      <c r="C702" t="str">
        <f t="shared" si="10"/>
        <v>31-Dec-21</v>
      </c>
      <c r="D702" t="s">
        <v>21</v>
      </c>
      <c r="E702" t="s">
        <v>22</v>
      </c>
      <c r="F702" t="str">
        <f>"6327587"</f>
        <v>6327587</v>
      </c>
      <c r="G702" t="s">
        <v>733</v>
      </c>
      <c r="I702" t="s">
        <v>581</v>
      </c>
      <c r="J702">
        <v>0.112791041</v>
      </c>
      <c r="K702">
        <v>85000</v>
      </c>
      <c r="L702">
        <v>988587.28</v>
      </c>
      <c r="M702">
        <v>111762.6</v>
      </c>
      <c r="N702">
        <v>24</v>
      </c>
      <c r="O702">
        <v>2040000</v>
      </c>
      <c r="P702">
        <v>230093.72</v>
      </c>
      <c r="Q702">
        <v>0</v>
      </c>
      <c r="R702">
        <v>0</v>
      </c>
      <c r="S702">
        <v>0.114</v>
      </c>
      <c r="T702" t="s">
        <v>25</v>
      </c>
    </row>
    <row r="703" spans="1:20" ht="15">
      <c r="A703" t="s">
        <v>19</v>
      </c>
      <c r="B703" t="s">
        <v>20</v>
      </c>
      <c r="C703" t="str">
        <f t="shared" si="10"/>
        <v>31-Dec-21</v>
      </c>
      <c r="D703" t="s">
        <v>21</v>
      </c>
      <c r="E703" t="s">
        <v>22</v>
      </c>
      <c r="F703" t="str">
        <f>"B27WRM3"</f>
        <v>B27WRM3</v>
      </c>
      <c r="G703" t="s">
        <v>734</v>
      </c>
      <c r="I703" t="s">
        <v>581</v>
      </c>
      <c r="J703">
        <v>0.112791041</v>
      </c>
      <c r="K703">
        <v>28200</v>
      </c>
      <c r="L703">
        <v>760341.07</v>
      </c>
      <c r="M703">
        <v>76390.53</v>
      </c>
      <c r="N703">
        <v>34.25</v>
      </c>
      <c r="O703">
        <v>965850</v>
      </c>
      <c r="P703">
        <v>108939.23</v>
      </c>
      <c r="Q703">
        <v>0</v>
      </c>
      <c r="R703">
        <v>0</v>
      </c>
      <c r="S703">
        <v>0.054</v>
      </c>
      <c r="T703" t="s">
        <v>25</v>
      </c>
    </row>
    <row r="704" spans="1:20" ht="15">
      <c r="A704" t="s">
        <v>19</v>
      </c>
      <c r="B704" t="s">
        <v>20</v>
      </c>
      <c r="C704" t="str">
        <f t="shared" si="10"/>
        <v>31-Dec-21</v>
      </c>
      <c r="D704" t="s">
        <v>21</v>
      </c>
      <c r="E704" t="s">
        <v>22</v>
      </c>
      <c r="F704" t="str">
        <f>"BLC90T0"</f>
        <v>BLC90T0</v>
      </c>
      <c r="G704" t="s">
        <v>735</v>
      </c>
      <c r="I704" t="s">
        <v>581</v>
      </c>
      <c r="J704">
        <v>0.112791041</v>
      </c>
      <c r="K704">
        <v>49700</v>
      </c>
      <c r="L704">
        <v>7552128.46</v>
      </c>
      <c r="M704">
        <v>817737.11</v>
      </c>
      <c r="N704">
        <v>72.05</v>
      </c>
      <c r="O704">
        <v>3580885</v>
      </c>
      <c r="P704">
        <v>403891.75</v>
      </c>
      <c r="Q704">
        <v>0</v>
      </c>
      <c r="R704">
        <v>0</v>
      </c>
      <c r="S704">
        <v>0.2</v>
      </c>
      <c r="T704" t="s">
        <v>25</v>
      </c>
    </row>
    <row r="705" spans="1:20" ht="15">
      <c r="A705" t="s">
        <v>19</v>
      </c>
      <c r="B705" t="s">
        <v>20</v>
      </c>
      <c r="C705" t="str">
        <f t="shared" si="10"/>
        <v>31-Dec-21</v>
      </c>
      <c r="D705" t="s">
        <v>21</v>
      </c>
      <c r="E705" t="s">
        <v>22</v>
      </c>
      <c r="F705" t="str">
        <f>"6340078"</f>
        <v>6340078</v>
      </c>
      <c r="G705" t="s">
        <v>736</v>
      </c>
      <c r="I705" t="s">
        <v>581</v>
      </c>
      <c r="J705">
        <v>0.112791041</v>
      </c>
      <c r="K705">
        <v>122000</v>
      </c>
      <c r="L705">
        <v>1344338.9</v>
      </c>
      <c r="M705">
        <v>134602.64</v>
      </c>
      <c r="N705">
        <v>7.31</v>
      </c>
      <c r="O705">
        <v>891820</v>
      </c>
      <c r="P705">
        <v>100589.31</v>
      </c>
      <c r="Q705">
        <v>0</v>
      </c>
      <c r="R705">
        <v>0</v>
      </c>
      <c r="S705">
        <v>0.05</v>
      </c>
      <c r="T705" t="s">
        <v>25</v>
      </c>
    </row>
    <row r="706" spans="1:20" ht="15">
      <c r="A706" t="s">
        <v>19</v>
      </c>
      <c r="B706" t="s">
        <v>20</v>
      </c>
      <c r="C706" t="str">
        <f aca="true" t="shared" si="11" ref="C706:C769">"31-Dec-21"</f>
        <v>31-Dec-21</v>
      </c>
      <c r="D706" t="s">
        <v>21</v>
      </c>
      <c r="E706" t="s">
        <v>22</v>
      </c>
      <c r="F706" t="str">
        <f>"BYMW733"</f>
        <v>BYMW733</v>
      </c>
      <c r="G706" t="s">
        <v>737</v>
      </c>
      <c r="I706" t="s">
        <v>581</v>
      </c>
      <c r="J706">
        <v>0.112791041</v>
      </c>
      <c r="K706">
        <v>19100</v>
      </c>
      <c r="L706">
        <v>413239.81</v>
      </c>
      <c r="M706">
        <v>47258.94</v>
      </c>
      <c r="N706">
        <v>11.52</v>
      </c>
      <c r="O706">
        <v>220032</v>
      </c>
      <c r="P706">
        <v>24817.64</v>
      </c>
      <c r="Q706">
        <v>0</v>
      </c>
      <c r="R706">
        <v>0</v>
      </c>
      <c r="S706">
        <v>0.012</v>
      </c>
      <c r="T706" t="s">
        <v>25</v>
      </c>
    </row>
    <row r="707" spans="1:20" ht="15">
      <c r="A707" t="s">
        <v>19</v>
      </c>
      <c r="B707" t="s">
        <v>20</v>
      </c>
      <c r="C707" t="str">
        <f t="shared" si="11"/>
        <v>31-Dec-21</v>
      </c>
      <c r="D707" t="s">
        <v>21</v>
      </c>
      <c r="E707" t="s">
        <v>22</v>
      </c>
      <c r="F707" t="str">
        <f>"B01JCK9"</f>
        <v>B01JCK9</v>
      </c>
      <c r="G707" t="s">
        <v>738</v>
      </c>
      <c r="I707" t="s">
        <v>581</v>
      </c>
      <c r="J707">
        <v>0.112791041</v>
      </c>
      <c r="K707">
        <v>70708</v>
      </c>
      <c r="L707">
        <v>1295002.84</v>
      </c>
      <c r="M707">
        <v>142687.09</v>
      </c>
      <c r="N707">
        <v>85.35</v>
      </c>
      <c r="O707">
        <v>6034927.8</v>
      </c>
      <c r="P707">
        <v>680685.79</v>
      </c>
      <c r="Q707">
        <v>0</v>
      </c>
      <c r="R707">
        <v>0</v>
      </c>
      <c r="S707">
        <v>0.337</v>
      </c>
      <c r="T707" t="s">
        <v>25</v>
      </c>
    </row>
    <row r="708" spans="1:20" ht="15">
      <c r="A708" t="s">
        <v>19</v>
      </c>
      <c r="B708" t="s">
        <v>20</v>
      </c>
      <c r="C708" t="str">
        <f t="shared" si="11"/>
        <v>31-Dec-21</v>
      </c>
      <c r="D708" t="s">
        <v>21</v>
      </c>
      <c r="E708" t="s">
        <v>22</v>
      </c>
      <c r="F708" t="str">
        <f>"BH6X937"</f>
        <v>BH6X937</v>
      </c>
      <c r="G708" t="s">
        <v>739</v>
      </c>
      <c r="I708" t="s">
        <v>581</v>
      </c>
      <c r="J708">
        <v>0.112791041</v>
      </c>
      <c r="K708">
        <v>40000</v>
      </c>
      <c r="L708">
        <v>478127.83</v>
      </c>
      <c r="M708">
        <v>50089.75</v>
      </c>
      <c r="N708">
        <v>5.96</v>
      </c>
      <c r="O708">
        <v>238400</v>
      </c>
      <c r="P708">
        <v>26889.38</v>
      </c>
      <c r="Q708">
        <v>0</v>
      </c>
      <c r="R708">
        <v>0</v>
      </c>
      <c r="S708">
        <v>0.013</v>
      </c>
      <c r="T708" t="s">
        <v>25</v>
      </c>
    </row>
    <row r="709" spans="1:20" ht="15">
      <c r="A709" t="s">
        <v>19</v>
      </c>
      <c r="B709" t="s">
        <v>20</v>
      </c>
      <c r="C709" t="str">
        <f t="shared" si="11"/>
        <v>31-Dec-21</v>
      </c>
      <c r="D709" t="s">
        <v>21</v>
      </c>
      <c r="E709" t="s">
        <v>22</v>
      </c>
      <c r="F709" t="str">
        <f>"B56KLY9"</f>
        <v>B56KLY9</v>
      </c>
      <c r="G709" t="s">
        <v>740</v>
      </c>
      <c r="I709" t="s">
        <v>581</v>
      </c>
      <c r="J709">
        <v>0.112791041</v>
      </c>
      <c r="K709">
        <v>61000</v>
      </c>
      <c r="L709">
        <v>1032596.31</v>
      </c>
      <c r="M709">
        <v>110748.35</v>
      </c>
      <c r="N709">
        <v>36.7</v>
      </c>
      <c r="O709">
        <v>2238700</v>
      </c>
      <c r="P709">
        <v>252505.3</v>
      </c>
      <c r="Q709">
        <v>35071.03</v>
      </c>
      <c r="R709">
        <v>3955.7</v>
      </c>
      <c r="S709">
        <v>0.127</v>
      </c>
      <c r="T709" t="s">
        <v>25</v>
      </c>
    </row>
    <row r="710" spans="1:20" ht="15">
      <c r="A710" t="s">
        <v>19</v>
      </c>
      <c r="B710" t="s">
        <v>20</v>
      </c>
      <c r="C710" t="str">
        <f t="shared" si="11"/>
        <v>31-Dec-21</v>
      </c>
      <c r="D710" t="s">
        <v>21</v>
      </c>
      <c r="E710" t="s">
        <v>22</v>
      </c>
      <c r="F710" t="str">
        <f>"BNQ4GF3"</f>
        <v>BNQ4GF3</v>
      </c>
      <c r="G710" t="s">
        <v>741</v>
      </c>
      <c r="I710" t="s">
        <v>581</v>
      </c>
      <c r="J710">
        <v>0.112791041</v>
      </c>
      <c r="K710">
        <v>53700</v>
      </c>
      <c r="L710">
        <v>352096.84</v>
      </c>
      <c r="M710">
        <v>39353.27</v>
      </c>
      <c r="N710">
        <v>3.56</v>
      </c>
      <c r="O710">
        <v>191172</v>
      </c>
      <c r="P710">
        <v>21562.49</v>
      </c>
      <c r="Q710">
        <v>0</v>
      </c>
      <c r="R710">
        <v>0</v>
      </c>
      <c r="S710">
        <v>0.011</v>
      </c>
      <c r="T710" t="s">
        <v>25</v>
      </c>
    </row>
    <row r="711" spans="1:20" ht="15">
      <c r="A711" t="s">
        <v>19</v>
      </c>
      <c r="B711" t="s">
        <v>20</v>
      </c>
      <c r="C711" t="str">
        <f t="shared" si="11"/>
        <v>31-Dec-21</v>
      </c>
      <c r="D711" t="s">
        <v>21</v>
      </c>
      <c r="E711" t="s">
        <v>22</v>
      </c>
      <c r="F711" t="str">
        <f>"BGJW376"</f>
        <v>BGJW376</v>
      </c>
      <c r="G711" t="s">
        <v>742</v>
      </c>
      <c r="I711" t="s">
        <v>581</v>
      </c>
      <c r="J711">
        <v>0.112791041</v>
      </c>
      <c r="K711">
        <v>125900</v>
      </c>
      <c r="L711">
        <v>14137739.02</v>
      </c>
      <c r="M711">
        <v>1570138.9</v>
      </c>
      <c r="N711">
        <v>225.4</v>
      </c>
      <c r="O711">
        <v>28377860</v>
      </c>
      <c r="P711">
        <v>3200768.38</v>
      </c>
      <c r="Q711">
        <v>0</v>
      </c>
      <c r="R711">
        <v>0</v>
      </c>
      <c r="S711">
        <v>1.587</v>
      </c>
      <c r="T711" t="s">
        <v>25</v>
      </c>
    </row>
    <row r="712" spans="1:20" ht="15">
      <c r="A712" t="s">
        <v>19</v>
      </c>
      <c r="B712" t="s">
        <v>20</v>
      </c>
      <c r="C712" t="str">
        <f t="shared" si="11"/>
        <v>31-Dec-21</v>
      </c>
      <c r="D712" t="s">
        <v>21</v>
      </c>
      <c r="E712" t="s">
        <v>22</v>
      </c>
      <c r="F712" t="str">
        <f>"B42SRM0"</f>
        <v>B42SRM0</v>
      </c>
      <c r="G712" t="s">
        <v>743</v>
      </c>
      <c r="I712" t="s">
        <v>581</v>
      </c>
      <c r="J712">
        <v>0.112791041</v>
      </c>
      <c r="K712">
        <v>130000</v>
      </c>
      <c r="L712">
        <v>361388.59</v>
      </c>
      <c r="M712">
        <v>39572.32</v>
      </c>
      <c r="N712">
        <v>1.99</v>
      </c>
      <c r="O712">
        <v>258700</v>
      </c>
      <c r="P712">
        <v>29179.04</v>
      </c>
      <c r="Q712">
        <v>0</v>
      </c>
      <c r="R712">
        <v>0</v>
      </c>
      <c r="S712">
        <v>0.014</v>
      </c>
      <c r="T712" t="s">
        <v>25</v>
      </c>
    </row>
    <row r="713" spans="1:20" ht="15">
      <c r="A713" t="s">
        <v>19</v>
      </c>
      <c r="B713" t="s">
        <v>20</v>
      </c>
      <c r="C713" t="str">
        <f t="shared" si="11"/>
        <v>31-Dec-21</v>
      </c>
      <c r="D713" t="s">
        <v>21</v>
      </c>
      <c r="E713" t="s">
        <v>22</v>
      </c>
      <c r="F713" t="str">
        <f>"BMC5QM0"</f>
        <v>BMC5QM0</v>
      </c>
      <c r="G713" t="s">
        <v>744</v>
      </c>
      <c r="I713" t="s">
        <v>581</v>
      </c>
      <c r="J713">
        <v>0.112791041</v>
      </c>
      <c r="K713">
        <v>15000</v>
      </c>
      <c r="L713">
        <v>585448.68</v>
      </c>
      <c r="M713">
        <v>63309.75</v>
      </c>
      <c r="N713">
        <v>17.76</v>
      </c>
      <c r="O713">
        <v>266400</v>
      </c>
      <c r="P713">
        <v>30047.53</v>
      </c>
      <c r="Q713">
        <v>0</v>
      </c>
      <c r="R713">
        <v>0</v>
      </c>
      <c r="S713">
        <v>0.015</v>
      </c>
      <c r="T713" t="s">
        <v>25</v>
      </c>
    </row>
    <row r="714" spans="1:20" ht="15">
      <c r="A714" t="s">
        <v>19</v>
      </c>
      <c r="B714" t="s">
        <v>20</v>
      </c>
      <c r="C714" t="str">
        <f t="shared" si="11"/>
        <v>31-Dec-21</v>
      </c>
      <c r="D714" t="s">
        <v>21</v>
      </c>
      <c r="E714" t="s">
        <v>22</v>
      </c>
      <c r="F714" t="str">
        <f>"BM93SF4"</f>
        <v>BM93SF4</v>
      </c>
      <c r="G714" t="s">
        <v>745</v>
      </c>
      <c r="I714" t="s">
        <v>581</v>
      </c>
      <c r="J714">
        <v>0.112791041</v>
      </c>
      <c r="K714">
        <v>47050</v>
      </c>
      <c r="L714">
        <v>5876545</v>
      </c>
      <c r="M714">
        <v>643295.88</v>
      </c>
      <c r="N714">
        <v>157.5</v>
      </c>
      <c r="O714">
        <v>7410375</v>
      </c>
      <c r="P714">
        <v>835823.91</v>
      </c>
      <c r="Q714">
        <v>0</v>
      </c>
      <c r="R714">
        <v>0</v>
      </c>
      <c r="S714">
        <v>0.414</v>
      </c>
      <c r="T714" t="s">
        <v>25</v>
      </c>
    </row>
    <row r="715" spans="1:20" ht="15">
      <c r="A715" t="s">
        <v>19</v>
      </c>
      <c r="B715" t="s">
        <v>20</v>
      </c>
      <c r="C715" t="str">
        <f t="shared" si="11"/>
        <v>31-Dec-21</v>
      </c>
      <c r="D715" t="s">
        <v>21</v>
      </c>
      <c r="E715" t="s">
        <v>22</v>
      </c>
      <c r="F715" t="str">
        <f>"B5730Z1"</f>
        <v>B5730Z1</v>
      </c>
      <c r="G715" t="s">
        <v>746</v>
      </c>
      <c r="I715" t="s">
        <v>581</v>
      </c>
      <c r="J715">
        <v>0.112791041</v>
      </c>
      <c r="K715">
        <v>32400</v>
      </c>
      <c r="L715">
        <v>1024298.69</v>
      </c>
      <c r="M715">
        <v>106792.97</v>
      </c>
      <c r="N715">
        <v>20.85</v>
      </c>
      <c r="O715">
        <v>675540</v>
      </c>
      <c r="P715">
        <v>76194.86</v>
      </c>
      <c r="Q715">
        <v>0</v>
      </c>
      <c r="R715">
        <v>0</v>
      </c>
      <c r="S715">
        <v>0.038</v>
      </c>
      <c r="T715" t="s">
        <v>25</v>
      </c>
    </row>
    <row r="716" spans="1:20" ht="15">
      <c r="A716" t="s">
        <v>19</v>
      </c>
      <c r="B716" t="s">
        <v>20</v>
      </c>
      <c r="C716" t="str">
        <f t="shared" si="11"/>
        <v>31-Dec-21</v>
      </c>
      <c r="D716" t="s">
        <v>21</v>
      </c>
      <c r="E716" t="s">
        <v>22</v>
      </c>
      <c r="F716" t="str">
        <f>"B0WC2B8"</f>
        <v>B0WC2B8</v>
      </c>
      <c r="G716" t="s">
        <v>747</v>
      </c>
      <c r="I716" t="s">
        <v>581</v>
      </c>
      <c r="J716">
        <v>0.112791041</v>
      </c>
      <c r="K716">
        <v>58000</v>
      </c>
      <c r="L716">
        <v>396802.46</v>
      </c>
      <c r="M716">
        <v>42824.43</v>
      </c>
      <c r="N716">
        <v>8.37</v>
      </c>
      <c r="O716">
        <v>485460</v>
      </c>
      <c r="P716">
        <v>54755.54</v>
      </c>
      <c r="Q716">
        <v>23413.3</v>
      </c>
      <c r="R716">
        <v>2640.81</v>
      </c>
      <c r="S716">
        <v>0.028</v>
      </c>
      <c r="T716" t="s">
        <v>25</v>
      </c>
    </row>
    <row r="717" spans="1:20" ht="15">
      <c r="A717" t="s">
        <v>19</v>
      </c>
      <c r="B717" t="s">
        <v>20</v>
      </c>
      <c r="C717" t="str">
        <f t="shared" si="11"/>
        <v>31-Dec-21</v>
      </c>
      <c r="D717" t="s">
        <v>21</v>
      </c>
      <c r="E717" t="s">
        <v>22</v>
      </c>
      <c r="F717" t="str">
        <f>"BD31M48"</f>
        <v>BD31M48</v>
      </c>
      <c r="G717" t="s">
        <v>748</v>
      </c>
      <c r="I717" t="s">
        <v>581</v>
      </c>
      <c r="J717">
        <v>0.112791041</v>
      </c>
      <c r="K717">
        <v>35600</v>
      </c>
      <c r="L717">
        <v>295683.85</v>
      </c>
      <c r="M717">
        <v>31777.33</v>
      </c>
      <c r="N717">
        <v>6.66</v>
      </c>
      <c r="O717">
        <v>237096</v>
      </c>
      <c r="P717">
        <v>26742.3</v>
      </c>
      <c r="Q717">
        <v>0</v>
      </c>
      <c r="R717">
        <v>0</v>
      </c>
      <c r="S717">
        <v>0.013</v>
      </c>
      <c r="T717" t="s">
        <v>25</v>
      </c>
    </row>
    <row r="718" spans="1:20" ht="15">
      <c r="A718" t="s">
        <v>19</v>
      </c>
      <c r="B718" t="s">
        <v>20</v>
      </c>
      <c r="C718" t="str">
        <f t="shared" si="11"/>
        <v>31-Dec-21</v>
      </c>
      <c r="D718" t="s">
        <v>21</v>
      </c>
      <c r="E718" t="s">
        <v>22</v>
      </c>
      <c r="F718" t="str">
        <f>"6706250"</f>
        <v>6706250</v>
      </c>
      <c r="G718" t="s">
        <v>749</v>
      </c>
      <c r="I718" t="s">
        <v>581</v>
      </c>
      <c r="J718">
        <v>0.112791041</v>
      </c>
      <c r="K718">
        <v>233010</v>
      </c>
      <c r="L718">
        <v>2033882.29</v>
      </c>
      <c r="M718">
        <v>221433.44</v>
      </c>
      <c r="N718">
        <v>6.37</v>
      </c>
      <c r="O718">
        <v>1484273.7</v>
      </c>
      <c r="P718">
        <v>167412.78</v>
      </c>
      <c r="Q718">
        <v>0</v>
      </c>
      <c r="R718">
        <v>0</v>
      </c>
      <c r="S718">
        <v>0.083</v>
      </c>
      <c r="T718" t="s">
        <v>25</v>
      </c>
    </row>
    <row r="719" spans="1:20" ht="15">
      <c r="A719" t="s">
        <v>19</v>
      </c>
      <c r="B719" t="s">
        <v>20</v>
      </c>
      <c r="C719" t="str">
        <f t="shared" si="11"/>
        <v>31-Dec-21</v>
      </c>
      <c r="D719" t="s">
        <v>21</v>
      </c>
      <c r="E719" t="s">
        <v>22</v>
      </c>
      <c r="F719" t="str">
        <f>"B8RZJZ1"</f>
        <v>B8RZJZ1</v>
      </c>
      <c r="G719" t="s">
        <v>750</v>
      </c>
      <c r="I719" t="s">
        <v>581</v>
      </c>
      <c r="J719">
        <v>0.112791041</v>
      </c>
      <c r="K719">
        <v>274500</v>
      </c>
      <c r="L719">
        <v>1080414.04</v>
      </c>
      <c r="M719">
        <v>116128.15</v>
      </c>
      <c r="N719">
        <v>2.36</v>
      </c>
      <c r="O719">
        <v>647820</v>
      </c>
      <c r="P719">
        <v>73068.29</v>
      </c>
      <c r="Q719">
        <v>0</v>
      </c>
      <c r="R719">
        <v>0</v>
      </c>
      <c r="S719">
        <v>0.036</v>
      </c>
      <c r="T719" t="s">
        <v>25</v>
      </c>
    </row>
    <row r="720" spans="1:20" ht="15">
      <c r="A720" t="s">
        <v>19</v>
      </c>
      <c r="B720" t="s">
        <v>20</v>
      </c>
      <c r="C720" t="str">
        <f t="shared" si="11"/>
        <v>31-Dec-21</v>
      </c>
      <c r="D720" t="s">
        <v>21</v>
      </c>
      <c r="E720" t="s">
        <v>22</v>
      </c>
      <c r="F720" t="str">
        <f>"6226576"</f>
        <v>6226576</v>
      </c>
      <c r="G720" t="s">
        <v>751</v>
      </c>
      <c r="I720" t="s">
        <v>581</v>
      </c>
      <c r="J720">
        <v>0.112791041</v>
      </c>
      <c r="K720">
        <v>596000</v>
      </c>
      <c r="L720">
        <v>3926978.54</v>
      </c>
      <c r="M720">
        <v>417814.01</v>
      </c>
      <c r="N720">
        <v>3.47</v>
      </c>
      <c r="O720">
        <v>2068120</v>
      </c>
      <c r="P720">
        <v>233265.41</v>
      </c>
      <c r="Q720">
        <v>0</v>
      </c>
      <c r="R720">
        <v>0</v>
      </c>
      <c r="S720">
        <v>0.116</v>
      </c>
      <c r="T720" t="s">
        <v>25</v>
      </c>
    </row>
    <row r="721" spans="1:20" ht="15">
      <c r="A721" t="s">
        <v>19</v>
      </c>
      <c r="B721" t="s">
        <v>20</v>
      </c>
      <c r="C721" t="str">
        <f t="shared" si="11"/>
        <v>31-Dec-21</v>
      </c>
      <c r="D721" t="s">
        <v>21</v>
      </c>
      <c r="E721" t="s">
        <v>22</v>
      </c>
      <c r="F721" t="str">
        <f>"BK72QD3"</f>
        <v>BK72QD3</v>
      </c>
      <c r="G721" t="s">
        <v>752</v>
      </c>
      <c r="I721" t="s">
        <v>581</v>
      </c>
      <c r="J721">
        <v>0.112791041</v>
      </c>
      <c r="K721">
        <v>4400</v>
      </c>
      <c r="L721">
        <v>387704.26</v>
      </c>
      <c r="M721">
        <v>43568.31</v>
      </c>
      <c r="N721">
        <v>120.3</v>
      </c>
      <c r="O721">
        <v>529320</v>
      </c>
      <c r="P721">
        <v>59702.55</v>
      </c>
      <c r="Q721">
        <v>0</v>
      </c>
      <c r="R721">
        <v>0</v>
      </c>
      <c r="S721">
        <v>0.03</v>
      </c>
      <c r="T721" t="s">
        <v>25</v>
      </c>
    </row>
    <row r="722" spans="1:20" ht="15">
      <c r="A722" t="s">
        <v>19</v>
      </c>
      <c r="B722" t="s">
        <v>20</v>
      </c>
      <c r="C722" t="str">
        <f t="shared" si="11"/>
        <v>31-Dec-21</v>
      </c>
      <c r="D722" t="s">
        <v>21</v>
      </c>
      <c r="E722" t="s">
        <v>22</v>
      </c>
      <c r="F722" t="str">
        <f>"BDRYVB3"</f>
        <v>BDRYVB3</v>
      </c>
      <c r="G722" t="s">
        <v>753</v>
      </c>
      <c r="I722" t="s">
        <v>581</v>
      </c>
      <c r="J722">
        <v>0.112791041</v>
      </c>
      <c r="K722">
        <v>15300</v>
      </c>
      <c r="L722">
        <v>816216.78</v>
      </c>
      <c r="M722">
        <v>94752.74</v>
      </c>
      <c r="N722">
        <v>28.35</v>
      </c>
      <c r="O722">
        <v>433755</v>
      </c>
      <c r="P722">
        <v>48923.68</v>
      </c>
      <c r="Q722">
        <v>0</v>
      </c>
      <c r="R722">
        <v>0</v>
      </c>
      <c r="S722">
        <v>0.024</v>
      </c>
      <c r="T722" t="s">
        <v>25</v>
      </c>
    </row>
    <row r="723" spans="1:20" ht="15">
      <c r="A723" t="s">
        <v>19</v>
      </c>
      <c r="B723" t="s">
        <v>20</v>
      </c>
      <c r="C723" t="str">
        <f t="shared" si="11"/>
        <v>31-Dec-21</v>
      </c>
      <c r="D723" t="s">
        <v>21</v>
      </c>
      <c r="E723" t="s">
        <v>22</v>
      </c>
      <c r="F723" t="str">
        <f>"B01FLR7"</f>
        <v>B01FLR7</v>
      </c>
      <c r="G723" t="s">
        <v>754</v>
      </c>
      <c r="I723" t="s">
        <v>581</v>
      </c>
      <c r="J723">
        <v>0.112791041</v>
      </c>
      <c r="K723">
        <v>193500</v>
      </c>
      <c r="L723">
        <v>12442062.52</v>
      </c>
      <c r="M723">
        <v>1366079.49</v>
      </c>
      <c r="N723">
        <v>56.15</v>
      </c>
      <c r="O723">
        <v>10865025</v>
      </c>
      <c r="P723">
        <v>1225477.48</v>
      </c>
      <c r="Q723">
        <v>0</v>
      </c>
      <c r="R723">
        <v>0</v>
      </c>
      <c r="S723">
        <v>0.607</v>
      </c>
      <c r="T723" t="s">
        <v>25</v>
      </c>
    </row>
    <row r="724" spans="1:20" ht="15">
      <c r="A724" t="s">
        <v>19</v>
      </c>
      <c r="B724" t="s">
        <v>20</v>
      </c>
      <c r="C724" t="str">
        <f t="shared" si="11"/>
        <v>31-Dec-21</v>
      </c>
      <c r="D724" t="s">
        <v>21</v>
      </c>
      <c r="E724" t="s">
        <v>22</v>
      </c>
      <c r="F724" t="str">
        <f>"BHR0FS4"</f>
        <v>BHR0FS4</v>
      </c>
      <c r="G724" t="s">
        <v>755</v>
      </c>
      <c r="I724" t="s">
        <v>581</v>
      </c>
      <c r="J724">
        <v>0.112791041</v>
      </c>
      <c r="K724">
        <v>6000</v>
      </c>
      <c r="L724">
        <v>497135.56</v>
      </c>
      <c r="M724">
        <v>57357.07</v>
      </c>
      <c r="N724">
        <v>61.3</v>
      </c>
      <c r="O724">
        <v>367800</v>
      </c>
      <c r="P724">
        <v>41484.55</v>
      </c>
      <c r="Q724">
        <v>0</v>
      </c>
      <c r="R724">
        <v>0</v>
      </c>
      <c r="S724">
        <v>0.021</v>
      </c>
      <c r="T724" t="s">
        <v>25</v>
      </c>
    </row>
    <row r="725" spans="1:20" ht="15">
      <c r="A725" t="s">
        <v>19</v>
      </c>
      <c r="B725" t="s">
        <v>20</v>
      </c>
      <c r="C725" t="str">
        <f t="shared" si="11"/>
        <v>31-Dec-21</v>
      </c>
      <c r="D725" t="s">
        <v>21</v>
      </c>
      <c r="E725" t="s">
        <v>22</v>
      </c>
      <c r="F725" t="str">
        <f>"BN6PP37"</f>
        <v>BN6PP37</v>
      </c>
      <c r="G725" t="s">
        <v>756</v>
      </c>
      <c r="I725" t="s">
        <v>581</v>
      </c>
      <c r="J725">
        <v>0.112791041</v>
      </c>
      <c r="K725">
        <v>14400</v>
      </c>
      <c r="L725">
        <v>846422.46</v>
      </c>
      <c r="M725">
        <v>93588.24</v>
      </c>
      <c r="N725">
        <v>44.7</v>
      </c>
      <c r="O725">
        <v>643680</v>
      </c>
      <c r="P725">
        <v>72601.34</v>
      </c>
      <c r="Q725">
        <v>0</v>
      </c>
      <c r="R725">
        <v>0</v>
      </c>
      <c r="S725">
        <v>0.036</v>
      </c>
      <c r="T725" t="s">
        <v>25</v>
      </c>
    </row>
    <row r="726" spans="1:20" ht="15">
      <c r="A726" t="s">
        <v>19</v>
      </c>
      <c r="B726" t="s">
        <v>20</v>
      </c>
      <c r="C726" t="str">
        <f t="shared" si="11"/>
        <v>31-Dec-21</v>
      </c>
      <c r="D726" t="s">
        <v>21</v>
      </c>
      <c r="E726" t="s">
        <v>22</v>
      </c>
      <c r="F726" t="str">
        <f>"BD8GL18"</f>
        <v>BD8GL18</v>
      </c>
      <c r="G726" t="s">
        <v>757</v>
      </c>
      <c r="I726" t="s">
        <v>581</v>
      </c>
      <c r="J726">
        <v>0.112791041</v>
      </c>
      <c r="K726">
        <v>255000</v>
      </c>
      <c r="L726">
        <v>1201479.03</v>
      </c>
      <c r="M726">
        <v>139549.85</v>
      </c>
      <c r="N726">
        <v>5.47</v>
      </c>
      <c r="O726">
        <v>1394850</v>
      </c>
      <c r="P726">
        <v>157326.58</v>
      </c>
      <c r="Q726">
        <v>0</v>
      </c>
      <c r="R726">
        <v>0</v>
      </c>
      <c r="S726">
        <v>0.078</v>
      </c>
      <c r="T726" t="s">
        <v>25</v>
      </c>
    </row>
    <row r="727" spans="1:20" ht="15">
      <c r="A727" t="s">
        <v>19</v>
      </c>
      <c r="B727" t="s">
        <v>20</v>
      </c>
      <c r="C727" t="str">
        <f t="shared" si="11"/>
        <v>31-Dec-21</v>
      </c>
      <c r="D727" t="s">
        <v>21</v>
      </c>
      <c r="E727" t="s">
        <v>22</v>
      </c>
      <c r="F727" t="str">
        <f>"BYNC0S8"</f>
        <v>BYNC0S8</v>
      </c>
      <c r="G727" t="s">
        <v>758</v>
      </c>
      <c r="I727" t="s">
        <v>581</v>
      </c>
      <c r="J727">
        <v>0.112791041</v>
      </c>
      <c r="K727">
        <v>44633</v>
      </c>
      <c r="L727">
        <v>243251.52</v>
      </c>
      <c r="M727">
        <v>27255.47</v>
      </c>
      <c r="N727">
        <v>3.73</v>
      </c>
      <c r="O727">
        <v>166481.09</v>
      </c>
      <c r="P727">
        <v>18777.58</v>
      </c>
      <c r="Q727">
        <v>0</v>
      </c>
      <c r="R727">
        <v>0</v>
      </c>
      <c r="S727">
        <v>0.009</v>
      </c>
      <c r="T727" t="s">
        <v>25</v>
      </c>
    </row>
    <row r="728" spans="1:20" ht="15">
      <c r="A728" t="s">
        <v>19</v>
      </c>
      <c r="B728" t="s">
        <v>20</v>
      </c>
      <c r="C728" t="str">
        <f t="shared" si="11"/>
        <v>31-Dec-21</v>
      </c>
      <c r="D728" t="s">
        <v>21</v>
      </c>
      <c r="E728" t="s">
        <v>22</v>
      </c>
      <c r="F728" t="str">
        <f>"BMC6XV1"</f>
        <v>BMC6XV1</v>
      </c>
      <c r="G728" t="s">
        <v>759</v>
      </c>
      <c r="I728" t="s">
        <v>581</v>
      </c>
      <c r="J728">
        <v>0.112791041</v>
      </c>
      <c r="K728">
        <v>2500</v>
      </c>
      <c r="L728">
        <v>265418.41</v>
      </c>
      <c r="M728">
        <v>30028.66</v>
      </c>
      <c r="N728">
        <v>77.9</v>
      </c>
      <c r="O728">
        <v>194750</v>
      </c>
      <c r="P728">
        <v>21966.06</v>
      </c>
      <c r="Q728">
        <v>0</v>
      </c>
      <c r="R728">
        <v>0</v>
      </c>
      <c r="S728">
        <v>0.011</v>
      </c>
      <c r="T728" t="s">
        <v>25</v>
      </c>
    </row>
    <row r="729" spans="1:20" ht="15">
      <c r="A729" t="s">
        <v>19</v>
      </c>
      <c r="B729" t="s">
        <v>20</v>
      </c>
      <c r="C729" t="str">
        <f t="shared" si="11"/>
        <v>31-Dec-21</v>
      </c>
      <c r="D729" t="s">
        <v>21</v>
      </c>
      <c r="E729" t="s">
        <v>22</v>
      </c>
      <c r="F729" t="str">
        <f>"B27WLD2"</f>
        <v>B27WLD2</v>
      </c>
      <c r="G729" t="s">
        <v>760</v>
      </c>
      <c r="I729" t="s">
        <v>581</v>
      </c>
      <c r="J729">
        <v>0.112791041</v>
      </c>
      <c r="K729">
        <v>80500</v>
      </c>
      <c r="L729">
        <v>379972.35</v>
      </c>
      <c r="M729">
        <v>39741.83</v>
      </c>
      <c r="N729">
        <v>1.72</v>
      </c>
      <c r="O729">
        <v>138460</v>
      </c>
      <c r="P729">
        <v>15617.05</v>
      </c>
      <c r="Q729">
        <v>0</v>
      </c>
      <c r="R729">
        <v>0</v>
      </c>
      <c r="S729">
        <v>0.008</v>
      </c>
      <c r="T729" t="s">
        <v>25</v>
      </c>
    </row>
    <row r="730" spans="1:20" ht="15">
      <c r="A730" t="s">
        <v>19</v>
      </c>
      <c r="B730" t="s">
        <v>20</v>
      </c>
      <c r="C730" t="str">
        <f t="shared" si="11"/>
        <v>31-Dec-21</v>
      </c>
      <c r="D730" t="s">
        <v>21</v>
      </c>
      <c r="E730" t="s">
        <v>22</v>
      </c>
      <c r="F730" t="str">
        <f>"BMWYQP0"</f>
        <v>BMWYQP0</v>
      </c>
      <c r="G730" t="s">
        <v>761</v>
      </c>
      <c r="I730" t="s">
        <v>581</v>
      </c>
      <c r="J730">
        <v>0.112791041</v>
      </c>
      <c r="K730">
        <v>74000</v>
      </c>
      <c r="L730">
        <v>431312.99</v>
      </c>
      <c r="M730">
        <v>48510.63</v>
      </c>
      <c r="N730">
        <v>5.27</v>
      </c>
      <c r="O730">
        <v>389980</v>
      </c>
      <c r="P730">
        <v>43986.25</v>
      </c>
      <c r="Q730">
        <v>0</v>
      </c>
      <c r="R730">
        <v>0</v>
      </c>
      <c r="S730">
        <v>0.022</v>
      </c>
      <c r="T730" t="s">
        <v>25</v>
      </c>
    </row>
    <row r="731" spans="1:20" ht="15">
      <c r="A731" t="s">
        <v>19</v>
      </c>
      <c r="B731" t="s">
        <v>20</v>
      </c>
      <c r="C731" t="str">
        <f t="shared" si="11"/>
        <v>31-Dec-21</v>
      </c>
      <c r="D731" t="s">
        <v>21</v>
      </c>
      <c r="E731" t="s">
        <v>22</v>
      </c>
      <c r="F731" t="str">
        <f>"BLBLFG9"</f>
        <v>BLBLFG9</v>
      </c>
      <c r="G731" t="s">
        <v>762</v>
      </c>
      <c r="I731" t="s">
        <v>581</v>
      </c>
      <c r="J731">
        <v>0.112791041</v>
      </c>
      <c r="K731">
        <v>3523</v>
      </c>
      <c r="L731">
        <v>0.04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 t="s">
        <v>25</v>
      </c>
    </row>
    <row r="732" spans="1:20" ht="15">
      <c r="A732" t="s">
        <v>19</v>
      </c>
      <c r="B732" t="s">
        <v>20</v>
      </c>
      <c r="C732" t="str">
        <f t="shared" si="11"/>
        <v>31-Dec-21</v>
      </c>
      <c r="D732" t="s">
        <v>21</v>
      </c>
      <c r="E732" t="s">
        <v>22</v>
      </c>
      <c r="F732" t="str">
        <f>"6801832"</f>
        <v>6801832</v>
      </c>
      <c r="G732" t="s">
        <v>763</v>
      </c>
      <c r="I732" t="s">
        <v>581</v>
      </c>
      <c r="J732">
        <v>0.112791041</v>
      </c>
      <c r="K732">
        <v>56475</v>
      </c>
      <c r="L732">
        <v>233103.06</v>
      </c>
      <c r="M732">
        <v>26975.8</v>
      </c>
      <c r="N732">
        <v>3.5</v>
      </c>
      <c r="O732">
        <v>197662.5</v>
      </c>
      <c r="P732">
        <v>22294.56</v>
      </c>
      <c r="Q732">
        <v>0</v>
      </c>
      <c r="R732">
        <v>0</v>
      </c>
      <c r="S732">
        <v>0.011</v>
      </c>
      <c r="T732" t="s">
        <v>25</v>
      </c>
    </row>
    <row r="733" spans="1:20" ht="15">
      <c r="A733" t="s">
        <v>19</v>
      </c>
      <c r="B733" t="s">
        <v>20</v>
      </c>
      <c r="C733" t="str">
        <f t="shared" si="11"/>
        <v>31-Dec-21</v>
      </c>
      <c r="D733" t="s">
        <v>21</v>
      </c>
      <c r="E733" t="s">
        <v>22</v>
      </c>
      <c r="F733" t="str">
        <f>"BFD2096"</f>
        <v>BFD2096</v>
      </c>
      <c r="G733" t="s">
        <v>764</v>
      </c>
      <c r="I733" t="s">
        <v>581</v>
      </c>
      <c r="J733">
        <v>0.112791041</v>
      </c>
      <c r="K733">
        <v>24100</v>
      </c>
      <c r="L733">
        <v>340380.29</v>
      </c>
      <c r="M733">
        <v>38697.47</v>
      </c>
      <c r="N733">
        <v>13.34</v>
      </c>
      <c r="O733">
        <v>321494</v>
      </c>
      <c r="P733">
        <v>36261.64</v>
      </c>
      <c r="Q733">
        <v>0</v>
      </c>
      <c r="R733">
        <v>0</v>
      </c>
      <c r="S733">
        <v>0.018</v>
      </c>
      <c r="T733" t="s">
        <v>25</v>
      </c>
    </row>
    <row r="734" spans="1:20" ht="15">
      <c r="A734" t="s">
        <v>19</v>
      </c>
      <c r="B734" t="s">
        <v>20</v>
      </c>
      <c r="C734" t="str">
        <f t="shared" si="11"/>
        <v>31-Dec-21</v>
      </c>
      <c r="D734" t="s">
        <v>21</v>
      </c>
      <c r="E734" t="s">
        <v>22</v>
      </c>
      <c r="F734" t="str">
        <f>"6742340"</f>
        <v>6742340</v>
      </c>
      <c r="G734" t="s">
        <v>765</v>
      </c>
      <c r="I734" t="s">
        <v>581</v>
      </c>
      <c r="J734">
        <v>0.112791041</v>
      </c>
      <c r="K734">
        <v>84000</v>
      </c>
      <c r="L734">
        <v>666630.59</v>
      </c>
      <c r="M734">
        <v>74161.75</v>
      </c>
      <c r="N734">
        <v>9.73</v>
      </c>
      <c r="O734">
        <v>817320</v>
      </c>
      <c r="P734">
        <v>92186.37</v>
      </c>
      <c r="Q734">
        <v>0</v>
      </c>
      <c r="R734">
        <v>0</v>
      </c>
      <c r="S734">
        <v>0.046</v>
      </c>
      <c r="T734" t="s">
        <v>25</v>
      </c>
    </row>
    <row r="735" spans="1:20" ht="15">
      <c r="A735" t="s">
        <v>19</v>
      </c>
      <c r="B735" t="s">
        <v>20</v>
      </c>
      <c r="C735" t="str">
        <f t="shared" si="11"/>
        <v>31-Dec-21</v>
      </c>
      <c r="D735" t="s">
        <v>21</v>
      </c>
      <c r="E735" t="s">
        <v>22</v>
      </c>
      <c r="F735" t="str">
        <f>"B07J656"</f>
        <v>B07J656</v>
      </c>
      <c r="G735" t="s">
        <v>766</v>
      </c>
      <c r="I735" t="s">
        <v>581</v>
      </c>
      <c r="J735">
        <v>0.112791041</v>
      </c>
      <c r="K735">
        <v>122000</v>
      </c>
      <c r="L735">
        <v>566777.04</v>
      </c>
      <c r="M735">
        <v>62006.77</v>
      </c>
      <c r="N735">
        <v>2.38</v>
      </c>
      <c r="O735">
        <v>290360</v>
      </c>
      <c r="P735">
        <v>32750.01</v>
      </c>
      <c r="Q735">
        <v>0</v>
      </c>
      <c r="R735">
        <v>0</v>
      </c>
      <c r="S735">
        <v>0.016</v>
      </c>
      <c r="T735" t="s">
        <v>25</v>
      </c>
    </row>
    <row r="736" spans="1:20" ht="15">
      <c r="A736" t="s">
        <v>19</v>
      </c>
      <c r="B736" t="s">
        <v>20</v>
      </c>
      <c r="C736" t="str">
        <f t="shared" si="11"/>
        <v>31-Dec-21</v>
      </c>
      <c r="D736" t="s">
        <v>21</v>
      </c>
      <c r="E736" t="s">
        <v>22</v>
      </c>
      <c r="F736" t="str">
        <f>"B8XBQ96"</f>
        <v>B8XBQ96</v>
      </c>
      <c r="G736" t="s">
        <v>767</v>
      </c>
      <c r="I736" t="s">
        <v>581</v>
      </c>
      <c r="J736">
        <v>0.112791041</v>
      </c>
      <c r="K736">
        <v>18500</v>
      </c>
      <c r="L736">
        <v>489881.35</v>
      </c>
      <c r="M736">
        <v>50949.16</v>
      </c>
      <c r="N736">
        <v>34.35</v>
      </c>
      <c r="O736">
        <v>635475</v>
      </c>
      <c r="P736">
        <v>71675.89</v>
      </c>
      <c r="Q736">
        <v>0</v>
      </c>
      <c r="R736">
        <v>0</v>
      </c>
      <c r="S736">
        <v>0.036</v>
      </c>
      <c r="T736" t="s">
        <v>25</v>
      </c>
    </row>
    <row r="737" spans="1:20" ht="15">
      <c r="A737" t="s">
        <v>19</v>
      </c>
      <c r="B737" t="s">
        <v>20</v>
      </c>
      <c r="C737" t="str">
        <f t="shared" si="11"/>
        <v>31-Dec-21</v>
      </c>
      <c r="D737" t="s">
        <v>21</v>
      </c>
      <c r="E737" t="s">
        <v>22</v>
      </c>
      <c r="F737" t="str">
        <f>"6810010"</f>
        <v>6810010</v>
      </c>
      <c r="G737" t="s">
        <v>768</v>
      </c>
      <c r="I737" t="s">
        <v>581</v>
      </c>
      <c r="J737">
        <v>0.112791041</v>
      </c>
      <c r="K737">
        <v>22000</v>
      </c>
      <c r="L737">
        <v>521865.74</v>
      </c>
      <c r="M737">
        <v>53046.94</v>
      </c>
      <c r="N737">
        <v>11.36</v>
      </c>
      <c r="O737">
        <v>249920</v>
      </c>
      <c r="P737">
        <v>28188.74</v>
      </c>
      <c r="Q737">
        <v>0</v>
      </c>
      <c r="R737">
        <v>0</v>
      </c>
      <c r="S737">
        <v>0.014</v>
      </c>
      <c r="T737" t="s">
        <v>25</v>
      </c>
    </row>
    <row r="738" spans="1:20" ht="15">
      <c r="A738" t="s">
        <v>19</v>
      </c>
      <c r="B738" t="s">
        <v>20</v>
      </c>
      <c r="C738" t="str">
        <f t="shared" si="11"/>
        <v>31-Dec-21</v>
      </c>
      <c r="D738" t="s">
        <v>21</v>
      </c>
      <c r="E738" t="s">
        <v>22</v>
      </c>
      <c r="F738" t="str">
        <f>"BG6DZJ8"</f>
        <v>BG6DZJ8</v>
      </c>
      <c r="G738" t="s">
        <v>769</v>
      </c>
      <c r="I738" t="s">
        <v>581</v>
      </c>
      <c r="J738">
        <v>0.112791041</v>
      </c>
      <c r="K738">
        <v>5800</v>
      </c>
      <c r="L738">
        <v>310587.81</v>
      </c>
      <c r="M738">
        <v>33687.56</v>
      </c>
      <c r="N738">
        <v>58</v>
      </c>
      <c r="O738">
        <v>336400</v>
      </c>
      <c r="P738">
        <v>37942.91</v>
      </c>
      <c r="Q738">
        <v>0</v>
      </c>
      <c r="R738">
        <v>0</v>
      </c>
      <c r="S738">
        <v>0.019</v>
      </c>
      <c r="T738" t="s">
        <v>25</v>
      </c>
    </row>
    <row r="739" spans="1:20" ht="15">
      <c r="A739" t="s">
        <v>19</v>
      </c>
      <c r="B739" t="s">
        <v>20</v>
      </c>
      <c r="C739" t="str">
        <f t="shared" si="11"/>
        <v>31-Dec-21</v>
      </c>
      <c r="D739" t="s">
        <v>21</v>
      </c>
      <c r="E739" t="s">
        <v>22</v>
      </c>
      <c r="F739" t="str">
        <f>"B4Q4CJ6"</f>
        <v>B4Q4CJ6</v>
      </c>
      <c r="G739" t="s">
        <v>770</v>
      </c>
      <c r="I739" t="s">
        <v>581</v>
      </c>
      <c r="J739">
        <v>0.112791041</v>
      </c>
      <c r="K739">
        <v>33600</v>
      </c>
      <c r="L739">
        <v>621688</v>
      </c>
      <c r="M739">
        <v>68250.73</v>
      </c>
      <c r="N739">
        <v>14.78</v>
      </c>
      <c r="O739">
        <v>496608</v>
      </c>
      <c r="P739">
        <v>56012.93</v>
      </c>
      <c r="Q739">
        <v>0</v>
      </c>
      <c r="R739">
        <v>0</v>
      </c>
      <c r="S739">
        <v>0.028</v>
      </c>
      <c r="T739" t="s">
        <v>25</v>
      </c>
    </row>
    <row r="740" spans="1:20" ht="15">
      <c r="A740" t="s">
        <v>19</v>
      </c>
      <c r="B740" t="s">
        <v>20</v>
      </c>
      <c r="C740" t="str">
        <f t="shared" si="11"/>
        <v>31-Dec-21</v>
      </c>
      <c r="D740" t="s">
        <v>21</v>
      </c>
      <c r="E740" t="s">
        <v>22</v>
      </c>
      <c r="F740" t="str">
        <f>"6848743"</f>
        <v>6848743</v>
      </c>
      <c r="G740" t="s">
        <v>771</v>
      </c>
      <c r="I740" t="s">
        <v>581</v>
      </c>
      <c r="J740">
        <v>0.112791041</v>
      </c>
      <c r="K740">
        <v>34000</v>
      </c>
      <c r="L740">
        <v>121900.38</v>
      </c>
      <c r="M740">
        <v>11548.39</v>
      </c>
      <c r="N740">
        <v>7.55</v>
      </c>
      <c r="O740">
        <v>256700</v>
      </c>
      <c r="P740">
        <v>28953.46</v>
      </c>
      <c r="Q740">
        <v>0</v>
      </c>
      <c r="R740">
        <v>0</v>
      </c>
      <c r="S740">
        <v>0.014</v>
      </c>
      <c r="T740" t="s">
        <v>25</v>
      </c>
    </row>
    <row r="741" spans="1:20" ht="15">
      <c r="A741" t="s">
        <v>19</v>
      </c>
      <c r="B741" t="s">
        <v>20</v>
      </c>
      <c r="C741" t="str">
        <f t="shared" si="11"/>
        <v>31-Dec-21</v>
      </c>
      <c r="D741" t="s">
        <v>21</v>
      </c>
      <c r="E741" t="s">
        <v>22</v>
      </c>
      <c r="F741" t="str">
        <f>"BMFR225"</f>
        <v>BMFR225</v>
      </c>
      <c r="G741" t="s">
        <v>772</v>
      </c>
      <c r="I741" t="s">
        <v>581</v>
      </c>
      <c r="J741">
        <v>0.112791041</v>
      </c>
      <c r="K741">
        <v>9500</v>
      </c>
      <c r="L741">
        <v>111292.79</v>
      </c>
      <c r="M741">
        <v>11803.61</v>
      </c>
      <c r="N741">
        <v>8.14</v>
      </c>
      <c r="O741">
        <v>77330</v>
      </c>
      <c r="P741">
        <v>8722.13</v>
      </c>
      <c r="Q741">
        <v>0</v>
      </c>
      <c r="R741">
        <v>0</v>
      </c>
      <c r="S741">
        <v>0.004</v>
      </c>
      <c r="T741" t="s">
        <v>25</v>
      </c>
    </row>
    <row r="742" spans="1:20" ht="15">
      <c r="A742" t="s">
        <v>19</v>
      </c>
      <c r="B742" t="s">
        <v>20</v>
      </c>
      <c r="C742" t="str">
        <f t="shared" si="11"/>
        <v>31-Dec-21</v>
      </c>
      <c r="D742" t="s">
        <v>21</v>
      </c>
      <c r="E742" t="s">
        <v>22</v>
      </c>
      <c r="F742" t="str">
        <f>"BJVBTY1"</f>
        <v>BJVBTY1</v>
      </c>
      <c r="G742" t="s">
        <v>773</v>
      </c>
      <c r="I742" t="s">
        <v>581</v>
      </c>
      <c r="J742">
        <v>0.112791041</v>
      </c>
      <c r="K742">
        <v>36217</v>
      </c>
      <c r="L742">
        <v>435947.74</v>
      </c>
      <c r="M742">
        <v>46880.3</v>
      </c>
      <c r="N742">
        <v>8.1</v>
      </c>
      <c r="O742">
        <v>293357.7</v>
      </c>
      <c r="P742">
        <v>33088.12</v>
      </c>
      <c r="Q742">
        <v>0</v>
      </c>
      <c r="R742">
        <v>0</v>
      </c>
      <c r="S742">
        <v>0.016</v>
      </c>
      <c r="T742" t="s">
        <v>25</v>
      </c>
    </row>
    <row r="743" spans="1:20" ht="15">
      <c r="A743" t="s">
        <v>19</v>
      </c>
      <c r="B743" t="s">
        <v>20</v>
      </c>
      <c r="C743" t="str">
        <f t="shared" si="11"/>
        <v>31-Dec-21</v>
      </c>
      <c r="D743" t="s">
        <v>21</v>
      </c>
      <c r="E743" t="s">
        <v>22</v>
      </c>
      <c r="F743" t="str">
        <f>"6535261"</f>
        <v>6535261</v>
      </c>
      <c r="G743" t="s">
        <v>774</v>
      </c>
      <c r="I743" t="s">
        <v>581</v>
      </c>
      <c r="J743">
        <v>0.112791041</v>
      </c>
      <c r="K743">
        <v>127177</v>
      </c>
      <c r="L743">
        <v>368763.48</v>
      </c>
      <c r="M743">
        <v>40149.1</v>
      </c>
      <c r="N743">
        <v>1.68</v>
      </c>
      <c r="O743">
        <v>213657.36</v>
      </c>
      <c r="P743">
        <v>24098.64</v>
      </c>
      <c r="Q743">
        <v>0</v>
      </c>
      <c r="R743">
        <v>0</v>
      </c>
      <c r="S743">
        <v>0.012</v>
      </c>
      <c r="T743" t="s">
        <v>25</v>
      </c>
    </row>
    <row r="744" spans="1:20" ht="15">
      <c r="A744" t="s">
        <v>19</v>
      </c>
      <c r="B744" t="s">
        <v>20</v>
      </c>
      <c r="C744" t="str">
        <f t="shared" si="11"/>
        <v>31-Dec-21</v>
      </c>
      <c r="D744" t="s">
        <v>21</v>
      </c>
      <c r="E744" t="s">
        <v>22</v>
      </c>
      <c r="F744" t="str">
        <f>"B0MP1B0"</f>
        <v>B0MP1B0</v>
      </c>
      <c r="G744" t="s">
        <v>775</v>
      </c>
      <c r="I744" t="s">
        <v>581</v>
      </c>
      <c r="J744">
        <v>0.112791041</v>
      </c>
      <c r="K744">
        <v>22700</v>
      </c>
      <c r="L744">
        <v>1501954.71</v>
      </c>
      <c r="M744">
        <v>161904.09</v>
      </c>
      <c r="N744">
        <v>149.9</v>
      </c>
      <c r="O744">
        <v>3402730</v>
      </c>
      <c r="P744">
        <v>383797.46</v>
      </c>
      <c r="Q744">
        <v>0</v>
      </c>
      <c r="R744">
        <v>0</v>
      </c>
      <c r="S744">
        <v>0.19</v>
      </c>
      <c r="T744" t="s">
        <v>25</v>
      </c>
    </row>
    <row r="745" spans="1:20" ht="15">
      <c r="A745" t="s">
        <v>19</v>
      </c>
      <c r="B745" t="s">
        <v>20</v>
      </c>
      <c r="C745" t="str">
        <f t="shared" si="11"/>
        <v>31-Dec-21</v>
      </c>
      <c r="D745" t="s">
        <v>21</v>
      </c>
      <c r="E745" t="s">
        <v>22</v>
      </c>
      <c r="F745" t="str">
        <f>"B16YNS1"</f>
        <v>B16YNS1</v>
      </c>
      <c r="G745" t="s">
        <v>776</v>
      </c>
      <c r="I745" t="s">
        <v>581</v>
      </c>
      <c r="J745">
        <v>0.112791041</v>
      </c>
      <c r="K745">
        <v>38000</v>
      </c>
      <c r="L745">
        <v>788397.48</v>
      </c>
      <c r="M745">
        <v>84887.51</v>
      </c>
      <c r="N745">
        <v>5.1</v>
      </c>
      <c r="O745">
        <v>193800</v>
      </c>
      <c r="P745">
        <v>21858.9</v>
      </c>
      <c r="Q745">
        <v>0</v>
      </c>
      <c r="R745">
        <v>0</v>
      </c>
      <c r="S745">
        <v>0.011</v>
      </c>
      <c r="T745" t="s">
        <v>25</v>
      </c>
    </row>
    <row r="746" spans="1:20" ht="15">
      <c r="A746" t="s">
        <v>19</v>
      </c>
      <c r="B746" t="s">
        <v>20</v>
      </c>
      <c r="C746" t="str">
        <f t="shared" si="11"/>
        <v>31-Dec-21</v>
      </c>
      <c r="D746" t="s">
        <v>21</v>
      </c>
      <c r="E746" t="s">
        <v>22</v>
      </c>
      <c r="F746" t="str">
        <f>"BMF7054"</f>
        <v>BMF7054</v>
      </c>
      <c r="G746" t="s">
        <v>777</v>
      </c>
      <c r="I746" t="s">
        <v>581</v>
      </c>
      <c r="J746">
        <v>0.112791041</v>
      </c>
      <c r="K746">
        <v>11000</v>
      </c>
      <c r="L746">
        <v>232871.87</v>
      </c>
      <c r="M746">
        <v>24756.9</v>
      </c>
      <c r="N746">
        <v>5.42</v>
      </c>
      <c r="O746">
        <v>59620</v>
      </c>
      <c r="P746">
        <v>6724.6</v>
      </c>
      <c r="Q746">
        <v>0</v>
      </c>
      <c r="R746">
        <v>0</v>
      </c>
      <c r="S746">
        <v>0.003</v>
      </c>
      <c r="T746" t="s">
        <v>25</v>
      </c>
    </row>
    <row r="747" spans="1:20" ht="15">
      <c r="A747" t="s">
        <v>19</v>
      </c>
      <c r="B747" t="s">
        <v>20</v>
      </c>
      <c r="C747" t="str">
        <f t="shared" si="11"/>
        <v>31-Dec-21</v>
      </c>
      <c r="D747" t="s">
        <v>21</v>
      </c>
      <c r="E747" t="s">
        <v>22</v>
      </c>
      <c r="F747" t="str">
        <f>"6354671"</f>
        <v>6354671</v>
      </c>
      <c r="G747" t="s">
        <v>778</v>
      </c>
      <c r="I747" t="s">
        <v>581</v>
      </c>
      <c r="J747">
        <v>0.112791041</v>
      </c>
      <c r="K747">
        <v>132000</v>
      </c>
      <c r="L747">
        <v>231215.5</v>
      </c>
      <c r="M747">
        <v>25155.2</v>
      </c>
      <c r="N747">
        <v>2.64</v>
      </c>
      <c r="O747">
        <v>348480</v>
      </c>
      <c r="P747">
        <v>39305.42</v>
      </c>
      <c r="Q747">
        <v>0</v>
      </c>
      <c r="R747">
        <v>0</v>
      </c>
      <c r="S747">
        <v>0.019</v>
      </c>
      <c r="T747" t="s">
        <v>25</v>
      </c>
    </row>
    <row r="748" spans="1:20" ht="15">
      <c r="A748" t="s">
        <v>19</v>
      </c>
      <c r="B748" t="s">
        <v>20</v>
      </c>
      <c r="C748" t="str">
        <f t="shared" si="11"/>
        <v>31-Dec-21</v>
      </c>
      <c r="D748" t="s">
        <v>21</v>
      </c>
      <c r="E748" t="s">
        <v>22</v>
      </c>
      <c r="F748" t="str">
        <f>"B00XSF9"</f>
        <v>B00XSF9</v>
      </c>
      <c r="G748" t="s">
        <v>779</v>
      </c>
      <c r="I748" t="s">
        <v>581</v>
      </c>
      <c r="J748">
        <v>0.112791041</v>
      </c>
      <c r="K748">
        <v>285250</v>
      </c>
      <c r="L748">
        <v>1023797.39</v>
      </c>
      <c r="M748">
        <v>110801.02</v>
      </c>
      <c r="N748">
        <v>5.46</v>
      </c>
      <c r="O748">
        <v>1557465</v>
      </c>
      <c r="P748">
        <v>175668.1</v>
      </c>
      <c r="Q748">
        <v>0</v>
      </c>
      <c r="R748">
        <v>0</v>
      </c>
      <c r="S748">
        <v>0.087</v>
      </c>
      <c r="T748" t="s">
        <v>25</v>
      </c>
    </row>
    <row r="749" spans="1:20" ht="15">
      <c r="A749" t="s">
        <v>19</v>
      </c>
      <c r="B749" t="s">
        <v>20</v>
      </c>
      <c r="C749" t="str">
        <f t="shared" si="11"/>
        <v>31-Dec-21</v>
      </c>
      <c r="D749" t="s">
        <v>21</v>
      </c>
      <c r="E749" t="s">
        <v>22</v>
      </c>
      <c r="F749" t="str">
        <f>"B24CVP7"</f>
        <v>B24CVP7</v>
      </c>
      <c r="G749" t="s">
        <v>780</v>
      </c>
      <c r="I749" t="s">
        <v>581</v>
      </c>
      <c r="J749">
        <v>0.112791041</v>
      </c>
      <c r="K749">
        <v>108666</v>
      </c>
      <c r="L749">
        <v>537464.06</v>
      </c>
      <c r="M749">
        <v>53679.59</v>
      </c>
      <c r="N749">
        <v>1.82</v>
      </c>
      <c r="O749">
        <v>197772.12</v>
      </c>
      <c r="P749">
        <v>22306.92</v>
      </c>
      <c r="Q749">
        <v>0</v>
      </c>
      <c r="R749">
        <v>0</v>
      </c>
      <c r="S749">
        <v>0.011</v>
      </c>
      <c r="T749" t="s">
        <v>25</v>
      </c>
    </row>
    <row r="750" spans="1:20" ht="15">
      <c r="A750" t="s">
        <v>19</v>
      </c>
      <c r="B750" t="s">
        <v>20</v>
      </c>
      <c r="C750" t="str">
        <f t="shared" si="11"/>
        <v>31-Dec-21</v>
      </c>
      <c r="D750" t="s">
        <v>21</v>
      </c>
      <c r="E750" t="s">
        <v>22</v>
      </c>
      <c r="F750" t="str">
        <f>"B92NYC9"</f>
        <v>B92NYC9</v>
      </c>
      <c r="G750" t="s">
        <v>781</v>
      </c>
      <c r="I750" t="s">
        <v>581</v>
      </c>
      <c r="J750">
        <v>0.112791041</v>
      </c>
      <c r="K750">
        <v>57000</v>
      </c>
      <c r="L750">
        <v>590189.65</v>
      </c>
      <c r="M750">
        <v>59373.82</v>
      </c>
      <c r="N750">
        <v>3.85</v>
      </c>
      <c r="O750">
        <v>219450</v>
      </c>
      <c r="P750">
        <v>24751.99</v>
      </c>
      <c r="Q750">
        <v>0</v>
      </c>
      <c r="R750">
        <v>0</v>
      </c>
      <c r="S750">
        <v>0.012</v>
      </c>
      <c r="T750" t="s">
        <v>25</v>
      </c>
    </row>
    <row r="751" spans="1:20" ht="15">
      <c r="A751" t="s">
        <v>19</v>
      </c>
      <c r="B751" t="s">
        <v>20</v>
      </c>
      <c r="C751" t="str">
        <f t="shared" si="11"/>
        <v>31-Dec-21</v>
      </c>
      <c r="D751" t="s">
        <v>21</v>
      </c>
      <c r="E751" t="s">
        <v>22</v>
      </c>
      <c r="F751" t="str">
        <f>"6797458"</f>
        <v>6797458</v>
      </c>
      <c r="G751" t="s">
        <v>782</v>
      </c>
      <c r="I751" t="s">
        <v>581</v>
      </c>
      <c r="J751">
        <v>0.112791041</v>
      </c>
      <c r="K751">
        <v>200000</v>
      </c>
      <c r="L751">
        <v>481669.35</v>
      </c>
      <c r="M751">
        <v>53596.09</v>
      </c>
      <c r="N751">
        <v>1.79</v>
      </c>
      <c r="O751">
        <v>358000</v>
      </c>
      <c r="P751">
        <v>40379.19</v>
      </c>
      <c r="Q751">
        <v>0</v>
      </c>
      <c r="R751">
        <v>0</v>
      </c>
      <c r="S751">
        <v>0.02</v>
      </c>
      <c r="T751" t="s">
        <v>25</v>
      </c>
    </row>
    <row r="752" spans="1:20" ht="15">
      <c r="A752" t="s">
        <v>19</v>
      </c>
      <c r="B752" t="s">
        <v>20</v>
      </c>
      <c r="C752" t="str">
        <f t="shared" si="11"/>
        <v>31-Dec-21</v>
      </c>
      <c r="D752" t="s">
        <v>21</v>
      </c>
      <c r="E752" t="s">
        <v>22</v>
      </c>
      <c r="F752" t="str">
        <f>"B3ZVDV0"</f>
        <v>B3ZVDV0</v>
      </c>
      <c r="G752" t="s">
        <v>783</v>
      </c>
      <c r="I752" t="s">
        <v>581</v>
      </c>
      <c r="J752">
        <v>0.112791041</v>
      </c>
      <c r="K752">
        <v>32400</v>
      </c>
      <c r="L752">
        <v>836027.54</v>
      </c>
      <c r="M752">
        <v>86806.93</v>
      </c>
      <c r="N752">
        <v>16.96</v>
      </c>
      <c r="O752">
        <v>549504</v>
      </c>
      <c r="P752">
        <v>61979.13</v>
      </c>
      <c r="Q752">
        <v>0</v>
      </c>
      <c r="R752">
        <v>0</v>
      </c>
      <c r="S752">
        <v>0.031</v>
      </c>
      <c r="T752" t="s">
        <v>25</v>
      </c>
    </row>
    <row r="753" spans="1:20" ht="15">
      <c r="A753" t="s">
        <v>19</v>
      </c>
      <c r="B753" t="s">
        <v>20</v>
      </c>
      <c r="C753" t="str">
        <f t="shared" si="11"/>
        <v>31-Dec-21</v>
      </c>
      <c r="D753" t="s">
        <v>21</v>
      </c>
      <c r="E753" t="s">
        <v>22</v>
      </c>
      <c r="F753" t="str">
        <f>"6579010"</f>
        <v>6579010</v>
      </c>
      <c r="G753" t="s">
        <v>784</v>
      </c>
      <c r="I753" t="s">
        <v>581</v>
      </c>
      <c r="J753">
        <v>0.112791041</v>
      </c>
      <c r="K753">
        <v>86000</v>
      </c>
      <c r="L753">
        <v>324288.11</v>
      </c>
      <c r="M753">
        <v>34842.48</v>
      </c>
      <c r="N753">
        <v>2.5</v>
      </c>
      <c r="O753">
        <v>215000</v>
      </c>
      <c r="P753">
        <v>24250.07</v>
      </c>
      <c r="Q753">
        <v>0</v>
      </c>
      <c r="R753">
        <v>0</v>
      </c>
      <c r="S753">
        <v>0.012</v>
      </c>
      <c r="T753" t="s">
        <v>25</v>
      </c>
    </row>
    <row r="754" spans="1:20" ht="15">
      <c r="A754" t="s">
        <v>19</v>
      </c>
      <c r="B754" t="s">
        <v>20</v>
      </c>
      <c r="C754" t="str">
        <f t="shared" si="11"/>
        <v>31-Dec-21</v>
      </c>
      <c r="D754" t="s">
        <v>21</v>
      </c>
      <c r="E754" t="s">
        <v>22</v>
      </c>
      <c r="F754" t="str">
        <f>"B296ZH4"</f>
        <v>B296ZH4</v>
      </c>
      <c r="G754" t="s">
        <v>785</v>
      </c>
      <c r="I754" t="s">
        <v>581</v>
      </c>
      <c r="J754">
        <v>0.112791041</v>
      </c>
      <c r="K754">
        <v>24500</v>
      </c>
      <c r="L754">
        <v>322721.2</v>
      </c>
      <c r="M754">
        <v>36065.29</v>
      </c>
      <c r="N754">
        <v>12</v>
      </c>
      <c r="O754">
        <v>294000</v>
      </c>
      <c r="P754">
        <v>33160.57</v>
      </c>
      <c r="Q754">
        <v>0</v>
      </c>
      <c r="R754">
        <v>0</v>
      </c>
      <c r="S754">
        <v>0.016</v>
      </c>
      <c r="T754" t="s">
        <v>25</v>
      </c>
    </row>
    <row r="755" spans="1:20" ht="15">
      <c r="A755" t="s">
        <v>19</v>
      </c>
      <c r="B755" t="s">
        <v>20</v>
      </c>
      <c r="C755" t="str">
        <f t="shared" si="11"/>
        <v>31-Dec-21</v>
      </c>
      <c r="D755" t="s">
        <v>21</v>
      </c>
      <c r="E755" t="s">
        <v>22</v>
      </c>
      <c r="F755" t="str">
        <f>"BKWGSQ7"</f>
        <v>BKWGSQ7</v>
      </c>
      <c r="G755" t="s">
        <v>786</v>
      </c>
      <c r="I755" t="s">
        <v>581</v>
      </c>
      <c r="J755">
        <v>0.112791041</v>
      </c>
      <c r="K755">
        <v>59000</v>
      </c>
      <c r="L755">
        <v>2947306.69</v>
      </c>
      <c r="M755">
        <v>313598.94</v>
      </c>
      <c r="N755">
        <v>39.75</v>
      </c>
      <c r="O755">
        <v>2345250</v>
      </c>
      <c r="P755">
        <v>264523.19</v>
      </c>
      <c r="Q755">
        <v>0</v>
      </c>
      <c r="R755">
        <v>0</v>
      </c>
      <c r="S755">
        <v>0.131</v>
      </c>
      <c r="T755" t="s">
        <v>25</v>
      </c>
    </row>
    <row r="756" spans="1:20" ht="15">
      <c r="A756" t="s">
        <v>19</v>
      </c>
      <c r="B756" t="s">
        <v>20</v>
      </c>
      <c r="C756" t="str">
        <f t="shared" si="11"/>
        <v>31-Dec-21</v>
      </c>
      <c r="D756" t="s">
        <v>21</v>
      </c>
      <c r="E756" t="s">
        <v>22</v>
      </c>
      <c r="F756" t="str">
        <f>"B4XRPN3"</f>
        <v>B4XRPN3</v>
      </c>
      <c r="G756" t="s">
        <v>787</v>
      </c>
      <c r="I756" t="s">
        <v>581</v>
      </c>
      <c r="J756">
        <v>0.112791041</v>
      </c>
      <c r="K756">
        <v>84000</v>
      </c>
      <c r="L756">
        <v>1913769.82</v>
      </c>
      <c r="M756">
        <v>217971.11</v>
      </c>
      <c r="N756">
        <v>11.78</v>
      </c>
      <c r="O756">
        <v>989520</v>
      </c>
      <c r="P756">
        <v>111608.99</v>
      </c>
      <c r="Q756">
        <v>0</v>
      </c>
      <c r="R756">
        <v>0</v>
      </c>
      <c r="S756">
        <v>0.055</v>
      </c>
      <c r="T756" t="s">
        <v>25</v>
      </c>
    </row>
    <row r="757" spans="1:20" ht="15">
      <c r="A757" t="s">
        <v>19</v>
      </c>
      <c r="B757" t="s">
        <v>20</v>
      </c>
      <c r="C757" t="str">
        <f t="shared" si="11"/>
        <v>31-Dec-21</v>
      </c>
      <c r="D757" t="s">
        <v>21</v>
      </c>
      <c r="E757" t="s">
        <v>22</v>
      </c>
      <c r="F757" t="str">
        <f>"BLN9QR9"</f>
        <v>BLN9QR9</v>
      </c>
      <c r="G757" t="s">
        <v>788</v>
      </c>
      <c r="I757" t="s">
        <v>581</v>
      </c>
      <c r="J757">
        <v>0.112791041</v>
      </c>
      <c r="K757">
        <v>21021</v>
      </c>
      <c r="L757">
        <v>441853.06</v>
      </c>
      <c r="M757">
        <v>47053.78</v>
      </c>
      <c r="N757">
        <v>7.95</v>
      </c>
      <c r="O757">
        <v>167116.95</v>
      </c>
      <c r="P757">
        <v>18849.29</v>
      </c>
      <c r="Q757">
        <v>0</v>
      </c>
      <c r="R757">
        <v>0</v>
      </c>
      <c r="S757">
        <v>0.009</v>
      </c>
      <c r="T757" t="s">
        <v>25</v>
      </c>
    </row>
    <row r="758" spans="1:20" ht="15">
      <c r="A758" t="s">
        <v>19</v>
      </c>
      <c r="B758" t="s">
        <v>20</v>
      </c>
      <c r="C758" t="str">
        <f t="shared" si="11"/>
        <v>31-Dec-21</v>
      </c>
      <c r="D758" t="s">
        <v>21</v>
      </c>
      <c r="E758" t="s">
        <v>22</v>
      </c>
      <c r="F758" t="str">
        <f>"B1YBT08"</f>
        <v>B1YBT08</v>
      </c>
      <c r="G758" t="s">
        <v>789</v>
      </c>
      <c r="I758" t="s">
        <v>581</v>
      </c>
      <c r="J758">
        <v>0.112791041</v>
      </c>
      <c r="K758">
        <v>20500</v>
      </c>
      <c r="L758">
        <v>1153753.88</v>
      </c>
      <c r="M758">
        <v>131993.72</v>
      </c>
      <c r="N758">
        <v>246.6</v>
      </c>
      <c r="O758">
        <v>5055300</v>
      </c>
      <c r="P758">
        <v>570192.55</v>
      </c>
      <c r="Q758">
        <v>0</v>
      </c>
      <c r="R758">
        <v>0</v>
      </c>
      <c r="S758">
        <v>0.283</v>
      </c>
      <c r="T758" t="s">
        <v>25</v>
      </c>
    </row>
    <row r="759" spans="1:20" ht="15">
      <c r="A759" t="s">
        <v>19</v>
      </c>
      <c r="B759" t="s">
        <v>20</v>
      </c>
      <c r="C759" t="str">
        <f t="shared" si="11"/>
        <v>31-Dec-21</v>
      </c>
      <c r="D759" t="s">
        <v>21</v>
      </c>
      <c r="E759" t="s">
        <v>22</v>
      </c>
      <c r="F759" t="str">
        <f>"BMMV2K8"</f>
        <v>BMMV2K8</v>
      </c>
      <c r="G759" t="s">
        <v>790</v>
      </c>
      <c r="I759" t="s">
        <v>581</v>
      </c>
      <c r="J759">
        <v>0.112791041</v>
      </c>
      <c r="K759">
        <v>193200</v>
      </c>
      <c r="L759">
        <v>57423202.8</v>
      </c>
      <c r="M759">
        <v>6318555.67</v>
      </c>
      <c r="N759">
        <v>456.8</v>
      </c>
      <c r="O759">
        <v>88253760</v>
      </c>
      <c r="P759">
        <v>9954233.5</v>
      </c>
      <c r="Q759">
        <v>0</v>
      </c>
      <c r="R759">
        <v>0</v>
      </c>
      <c r="S759">
        <v>4.935</v>
      </c>
      <c r="T759" t="s">
        <v>25</v>
      </c>
    </row>
    <row r="760" spans="1:20" ht="15">
      <c r="A760" t="s">
        <v>19</v>
      </c>
      <c r="B760" t="s">
        <v>20</v>
      </c>
      <c r="C760" t="str">
        <f t="shared" si="11"/>
        <v>31-Dec-21</v>
      </c>
      <c r="D760" t="s">
        <v>21</v>
      </c>
      <c r="E760" t="s">
        <v>22</v>
      </c>
      <c r="F760" t="str">
        <f>"BGM5R25"</f>
        <v>BGM5R25</v>
      </c>
      <c r="G760" t="s">
        <v>791</v>
      </c>
      <c r="I760" t="s">
        <v>581</v>
      </c>
      <c r="J760">
        <v>0.112791041</v>
      </c>
      <c r="K760">
        <v>33600</v>
      </c>
      <c r="L760">
        <v>508846.85</v>
      </c>
      <c r="M760">
        <v>57281.41</v>
      </c>
      <c r="N760">
        <v>14.44</v>
      </c>
      <c r="O760">
        <v>485184</v>
      </c>
      <c r="P760">
        <v>54724.41</v>
      </c>
      <c r="Q760">
        <v>0</v>
      </c>
      <c r="R760">
        <v>0</v>
      </c>
      <c r="S760">
        <v>0.027</v>
      </c>
      <c r="T760" t="s">
        <v>25</v>
      </c>
    </row>
    <row r="761" spans="1:20" ht="15">
      <c r="A761" t="s">
        <v>19</v>
      </c>
      <c r="B761" t="s">
        <v>20</v>
      </c>
      <c r="C761" t="str">
        <f t="shared" si="11"/>
        <v>31-Dec-21</v>
      </c>
      <c r="D761" t="s">
        <v>21</v>
      </c>
      <c r="E761" t="s">
        <v>22</v>
      </c>
      <c r="F761" t="str">
        <f>"BJRFW26"</f>
        <v>BJRFW26</v>
      </c>
      <c r="G761" t="s">
        <v>792</v>
      </c>
      <c r="I761" t="s">
        <v>581</v>
      </c>
      <c r="J761">
        <v>0.112791041</v>
      </c>
      <c r="K761">
        <v>49000</v>
      </c>
      <c r="L761">
        <v>504073.99</v>
      </c>
      <c r="M761">
        <v>58157.59</v>
      </c>
      <c r="N761">
        <v>7.89</v>
      </c>
      <c r="O761">
        <v>386610</v>
      </c>
      <c r="P761">
        <v>43606.14</v>
      </c>
      <c r="Q761">
        <v>0</v>
      </c>
      <c r="R761">
        <v>0</v>
      </c>
      <c r="S761">
        <v>0.022</v>
      </c>
      <c r="T761" t="s">
        <v>25</v>
      </c>
    </row>
    <row r="762" spans="1:20" ht="15">
      <c r="A762" t="s">
        <v>19</v>
      </c>
      <c r="B762" t="s">
        <v>20</v>
      </c>
      <c r="C762" t="str">
        <f t="shared" si="11"/>
        <v>31-Dec-21</v>
      </c>
      <c r="D762" t="s">
        <v>21</v>
      </c>
      <c r="E762" t="s">
        <v>22</v>
      </c>
      <c r="F762" t="str">
        <f>"6321954"</f>
        <v>6321954</v>
      </c>
      <c r="G762" t="s">
        <v>793</v>
      </c>
      <c r="I762" t="s">
        <v>581</v>
      </c>
      <c r="J762">
        <v>0.112791041</v>
      </c>
      <c r="K762">
        <v>34000</v>
      </c>
      <c r="L762">
        <v>377700.44</v>
      </c>
      <c r="M762">
        <v>40283.57</v>
      </c>
      <c r="N762">
        <v>13.12</v>
      </c>
      <c r="O762">
        <v>446080</v>
      </c>
      <c r="P762">
        <v>50313.83</v>
      </c>
      <c r="Q762">
        <v>0</v>
      </c>
      <c r="R762">
        <v>0</v>
      </c>
      <c r="S762">
        <v>0.025</v>
      </c>
      <c r="T762" t="s">
        <v>25</v>
      </c>
    </row>
    <row r="763" spans="1:20" ht="15">
      <c r="A763" t="s">
        <v>19</v>
      </c>
      <c r="B763" t="s">
        <v>20</v>
      </c>
      <c r="C763" t="str">
        <f t="shared" si="11"/>
        <v>31-Dec-21</v>
      </c>
      <c r="D763" t="s">
        <v>21</v>
      </c>
      <c r="E763" t="s">
        <v>22</v>
      </c>
      <c r="F763" t="str">
        <f>"6905808"</f>
        <v>6905808</v>
      </c>
      <c r="G763" t="s">
        <v>794</v>
      </c>
      <c r="I763" t="s">
        <v>581</v>
      </c>
      <c r="J763">
        <v>0.112791041</v>
      </c>
      <c r="K763">
        <v>18000</v>
      </c>
      <c r="L763">
        <v>966573.61</v>
      </c>
      <c r="M763">
        <v>101532.31</v>
      </c>
      <c r="N763">
        <v>73</v>
      </c>
      <c r="O763">
        <v>1314000</v>
      </c>
      <c r="P763">
        <v>148207.43</v>
      </c>
      <c r="Q763">
        <v>0</v>
      </c>
      <c r="R763">
        <v>0</v>
      </c>
      <c r="S763">
        <v>0.073</v>
      </c>
      <c r="T763" t="s">
        <v>25</v>
      </c>
    </row>
    <row r="764" spans="1:20" ht="15">
      <c r="A764" t="s">
        <v>19</v>
      </c>
      <c r="B764" t="s">
        <v>20</v>
      </c>
      <c r="C764" t="str">
        <f t="shared" si="11"/>
        <v>31-Dec-21</v>
      </c>
      <c r="D764" t="s">
        <v>21</v>
      </c>
      <c r="E764" t="s">
        <v>22</v>
      </c>
      <c r="F764" t="str">
        <f>"6743956"</f>
        <v>6743956</v>
      </c>
      <c r="G764" t="s">
        <v>795</v>
      </c>
      <c r="I764" t="s">
        <v>581</v>
      </c>
      <c r="J764">
        <v>0.112791041</v>
      </c>
      <c r="K764">
        <v>63000</v>
      </c>
      <c r="L764">
        <v>612960.18</v>
      </c>
      <c r="M764">
        <v>66753.02</v>
      </c>
      <c r="N764">
        <v>15.26</v>
      </c>
      <c r="O764">
        <v>961380</v>
      </c>
      <c r="P764">
        <v>108435.05</v>
      </c>
      <c r="Q764">
        <v>0</v>
      </c>
      <c r="R764">
        <v>0</v>
      </c>
      <c r="S764">
        <v>0.054</v>
      </c>
      <c r="T764" t="s">
        <v>25</v>
      </c>
    </row>
    <row r="765" spans="1:20" ht="15">
      <c r="A765" t="s">
        <v>19</v>
      </c>
      <c r="B765" t="s">
        <v>20</v>
      </c>
      <c r="C765" t="str">
        <f t="shared" si="11"/>
        <v>31-Dec-21</v>
      </c>
      <c r="D765" t="s">
        <v>21</v>
      </c>
      <c r="E765" t="s">
        <v>22</v>
      </c>
      <c r="F765" t="str">
        <f>"BGHH0L6"</f>
        <v>BGHH0L6</v>
      </c>
      <c r="G765" t="s">
        <v>796</v>
      </c>
      <c r="I765" t="s">
        <v>581</v>
      </c>
      <c r="J765">
        <v>0.112791041</v>
      </c>
      <c r="K765">
        <v>10483</v>
      </c>
      <c r="L765">
        <v>573104.72</v>
      </c>
      <c r="M765">
        <v>63997.79</v>
      </c>
      <c r="N765">
        <v>135</v>
      </c>
      <c r="O765">
        <v>1415205</v>
      </c>
      <c r="P765">
        <v>159622.45</v>
      </c>
      <c r="Q765">
        <v>0</v>
      </c>
      <c r="R765">
        <v>0</v>
      </c>
      <c r="S765">
        <v>0.079</v>
      </c>
      <c r="T765" t="s">
        <v>25</v>
      </c>
    </row>
    <row r="766" spans="1:20" ht="15">
      <c r="A766" t="s">
        <v>19</v>
      </c>
      <c r="B766" t="s">
        <v>20</v>
      </c>
      <c r="C766" t="str">
        <f t="shared" si="11"/>
        <v>31-Dec-21</v>
      </c>
      <c r="D766" t="s">
        <v>21</v>
      </c>
      <c r="E766" t="s">
        <v>22</v>
      </c>
      <c r="F766" t="str">
        <f>"BL6B9P1"</f>
        <v>BL6B9P1</v>
      </c>
      <c r="G766" t="s">
        <v>797</v>
      </c>
      <c r="I766" t="s">
        <v>581</v>
      </c>
      <c r="J766">
        <v>0.112791041</v>
      </c>
      <c r="K766">
        <v>105000</v>
      </c>
      <c r="L766">
        <v>3855654.34</v>
      </c>
      <c r="M766">
        <v>426109.79</v>
      </c>
      <c r="N766">
        <v>92.55</v>
      </c>
      <c r="O766">
        <v>9717750</v>
      </c>
      <c r="P766">
        <v>1096075.14</v>
      </c>
      <c r="Q766">
        <v>0</v>
      </c>
      <c r="R766">
        <v>0</v>
      </c>
      <c r="S766">
        <v>0.543</v>
      </c>
      <c r="T766" t="s">
        <v>25</v>
      </c>
    </row>
    <row r="767" spans="1:20" ht="15">
      <c r="A767" t="s">
        <v>19</v>
      </c>
      <c r="B767" t="s">
        <v>20</v>
      </c>
      <c r="C767" t="str">
        <f t="shared" si="11"/>
        <v>31-Dec-21</v>
      </c>
      <c r="D767" t="s">
        <v>21</v>
      </c>
      <c r="E767" t="s">
        <v>22</v>
      </c>
      <c r="F767" t="str">
        <f>"BG0ZMJ9"</f>
        <v>BG0ZMJ9</v>
      </c>
      <c r="G767" t="s">
        <v>798</v>
      </c>
      <c r="I767" t="s">
        <v>581</v>
      </c>
      <c r="J767">
        <v>0.112791041</v>
      </c>
      <c r="K767">
        <v>423000</v>
      </c>
      <c r="L767">
        <v>12365061.15</v>
      </c>
      <c r="M767">
        <v>1323787.36</v>
      </c>
      <c r="N767">
        <v>18.9</v>
      </c>
      <c r="O767">
        <v>7994700</v>
      </c>
      <c r="P767">
        <v>901730.54</v>
      </c>
      <c r="Q767">
        <v>0</v>
      </c>
      <c r="R767">
        <v>0</v>
      </c>
      <c r="S767">
        <v>0.447</v>
      </c>
      <c r="T767" t="s">
        <v>25</v>
      </c>
    </row>
    <row r="768" spans="1:20" ht="15">
      <c r="A768" t="s">
        <v>19</v>
      </c>
      <c r="B768" t="s">
        <v>20</v>
      </c>
      <c r="C768" t="str">
        <f t="shared" si="11"/>
        <v>31-Dec-21</v>
      </c>
      <c r="D768" t="s">
        <v>21</v>
      </c>
      <c r="E768" t="s">
        <v>22</v>
      </c>
      <c r="F768" t="str">
        <f>"B1XCJB3"</f>
        <v>B1XCJB3</v>
      </c>
      <c r="G768" t="s">
        <v>799</v>
      </c>
      <c r="I768" t="s">
        <v>581</v>
      </c>
      <c r="J768">
        <v>0.112791041</v>
      </c>
      <c r="K768">
        <v>18000</v>
      </c>
      <c r="L768">
        <v>92485.25</v>
      </c>
      <c r="M768">
        <v>10449.33</v>
      </c>
      <c r="N768">
        <v>5.91</v>
      </c>
      <c r="O768">
        <v>106380</v>
      </c>
      <c r="P768">
        <v>11998.71</v>
      </c>
      <c r="Q768">
        <v>0</v>
      </c>
      <c r="R768">
        <v>0</v>
      </c>
      <c r="S768">
        <v>0.006</v>
      </c>
      <c r="T768" t="s">
        <v>25</v>
      </c>
    </row>
    <row r="769" spans="1:20" ht="15">
      <c r="A769" t="s">
        <v>19</v>
      </c>
      <c r="B769" t="s">
        <v>20</v>
      </c>
      <c r="C769" t="str">
        <f t="shared" si="11"/>
        <v>31-Dec-21</v>
      </c>
      <c r="D769" t="s">
        <v>21</v>
      </c>
      <c r="E769" t="s">
        <v>22</v>
      </c>
      <c r="F769" t="str">
        <f>"B59GZJ7"</f>
        <v>B59GZJ7</v>
      </c>
      <c r="G769" t="s">
        <v>800</v>
      </c>
      <c r="I769" t="s">
        <v>581</v>
      </c>
      <c r="J769">
        <v>0.112791041</v>
      </c>
      <c r="K769">
        <v>15184</v>
      </c>
      <c r="L769">
        <v>94437.18</v>
      </c>
      <c r="M769">
        <v>9363.73</v>
      </c>
      <c r="N769">
        <v>15.22</v>
      </c>
      <c r="O769">
        <v>231100.48</v>
      </c>
      <c r="P769">
        <v>26066.06</v>
      </c>
      <c r="Q769">
        <v>0</v>
      </c>
      <c r="R769">
        <v>0</v>
      </c>
      <c r="S769">
        <v>0.013</v>
      </c>
      <c r="T769" t="s">
        <v>25</v>
      </c>
    </row>
    <row r="770" spans="1:20" ht="15">
      <c r="A770" t="s">
        <v>19</v>
      </c>
      <c r="B770" t="s">
        <v>20</v>
      </c>
      <c r="C770" t="str">
        <f aca="true" t="shared" si="12" ref="C770:C833">"31-Dec-21"</f>
        <v>31-Dec-21</v>
      </c>
      <c r="D770" t="s">
        <v>21</v>
      </c>
      <c r="E770" t="s">
        <v>22</v>
      </c>
      <c r="F770" t="str">
        <f>"BGQYNN1"</f>
        <v>BGQYNN1</v>
      </c>
      <c r="G770" t="s">
        <v>801</v>
      </c>
      <c r="I770" t="s">
        <v>581</v>
      </c>
      <c r="J770">
        <v>0.112791041</v>
      </c>
      <c r="K770">
        <v>140774</v>
      </c>
      <c r="L770">
        <v>1495821.1</v>
      </c>
      <c r="M770">
        <v>162865.44</v>
      </c>
      <c r="N770">
        <v>13.22</v>
      </c>
      <c r="O770">
        <v>1861032.28</v>
      </c>
      <c r="P770">
        <v>209907.77</v>
      </c>
      <c r="Q770">
        <v>0</v>
      </c>
      <c r="R770">
        <v>0</v>
      </c>
      <c r="S770">
        <v>0.104</v>
      </c>
      <c r="T770" t="s">
        <v>25</v>
      </c>
    </row>
    <row r="771" spans="1:20" ht="15">
      <c r="A771" t="s">
        <v>19</v>
      </c>
      <c r="B771" t="s">
        <v>20</v>
      </c>
      <c r="C771" t="str">
        <f t="shared" si="12"/>
        <v>31-Dec-21</v>
      </c>
      <c r="D771" t="s">
        <v>21</v>
      </c>
      <c r="E771" t="s">
        <v>22</v>
      </c>
      <c r="F771" t="str">
        <f>"BZ04KX9"</f>
        <v>BZ04KX9</v>
      </c>
      <c r="G771" t="s">
        <v>802</v>
      </c>
      <c r="I771" t="s">
        <v>581</v>
      </c>
      <c r="J771">
        <v>0.112791041</v>
      </c>
      <c r="K771">
        <v>36000</v>
      </c>
      <c r="L771">
        <v>711547.84</v>
      </c>
      <c r="M771">
        <v>76945.97</v>
      </c>
      <c r="N771">
        <v>15.2</v>
      </c>
      <c r="O771">
        <v>547200</v>
      </c>
      <c r="P771">
        <v>61719.26</v>
      </c>
      <c r="Q771">
        <v>0</v>
      </c>
      <c r="R771">
        <v>0</v>
      </c>
      <c r="S771">
        <v>0.031</v>
      </c>
      <c r="T771" t="s">
        <v>25</v>
      </c>
    </row>
    <row r="772" spans="1:20" ht="15">
      <c r="A772" t="s">
        <v>19</v>
      </c>
      <c r="B772" t="s">
        <v>20</v>
      </c>
      <c r="C772" t="str">
        <f t="shared" si="12"/>
        <v>31-Dec-21</v>
      </c>
      <c r="D772" t="s">
        <v>21</v>
      </c>
      <c r="E772" t="s">
        <v>22</v>
      </c>
      <c r="F772" t="str">
        <f>"6109893"</f>
        <v>6109893</v>
      </c>
      <c r="G772" t="s">
        <v>803</v>
      </c>
      <c r="I772" t="s">
        <v>581</v>
      </c>
      <c r="J772">
        <v>0.112791041</v>
      </c>
      <c r="K772">
        <v>78000</v>
      </c>
      <c r="L772">
        <v>621285.61</v>
      </c>
      <c r="M772">
        <v>65195.94</v>
      </c>
      <c r="N772">
        <v>15.5</v>
      </c>
      <c r="O772">
        <v>1209000</v>
      </c>
      <c r="P772">
        <v>136364.37</v>
      </c>
      <c r="Q772">
        <v>0</v>
      </c>
      <c r="R772">
        <v>0</v>
      </c>
      <c r="S772">
        <v>0.068</v>
      </c>
      <c r="T772" t="s">
        <v>25</v>
      </c>
    </row>
    <row r="773" spans="1:20" ht="15">
      <c r="A773" t="s">
        <v>19</v>
      </c>
      <c r="B773" t="s">
        <v>20</v>
      </c>
      <c r="C773" t="str">
        <f t="shared" si="12"/>
        <v>31-Dec-21</v>
      </c>
      <c r="D773" t="s">
        <v>21</v>
      </c>
      <c r="E773" t="s">
        <v>22</v>
      </c>
      <c r="F773" t="str">
        <f>"6043645"</f>
        <v>6043645</v>
      </c>
      <c r="G773" t="s">
        <v>804</v>
      </c>
      <c r="I773" t="s">
        <v>581</v>
      </c>
      <c r="J773">
        <v>0.112791041</v>
      </c>
      <c r="K773">
        <v>15300</v>
      </c>
      <c r="L773">
        <v>461171.18</v>
      </c>
      <c r="M773">
        <v>50472.18</v>
      </c>
      <c r="N773">
        <v>13.89</v>
      </c>
      <c r="O773">
        <v>212517</v>
      </c>
      <c r="P773">
        <v>23970.01</v>
      </c>
      <c r="Q773">
        <v>0</v>
      </c>
      <c r="R773">
        <v>0</v>
      </c>
      <c r="S773">
        <v>0.012</v>
      </c>
      <c r="T773" t="s">
        <v>25</v>
      </c>
    </row>
    <row r="774" spans="1:20" ht="15">
      <c r="A774" t="s">
        <v>19</v>
      </c>
      <c r="B774" t="s">
        <v>20</v>
      </c>
      <c r="C774" t="str">
        <f t="shared" si="12"/>
        <v>31-Dec-21</v>
      </c>
      <c r="D774" t="s">
        <v>21</v>
      </c>
      <c r="E774" t="s">
        <v>22</v>
      </c>
      <c r="F774" t="str">
        <f>"BD9GZX7"</f>
        <v>BD9GZX7</v>
      </c>
      <c r="G774" t="s">
        <v>805</v>
      </c>
      <c r="I774" t="s">
        <v>581</v>
      </c>
      <c r="J774">
        <v>0.112791041</v>
      </c>
      <c r="K774">
        <v>18000</v>
      </c>
      <c r="L774">
        <v>889053.42</v>
      </c>
      <c r="M774">
        <v>102565.66</v>
      </c>
      <c r="N774">
        <v>36.05</v>
      </c>
      <c r="O774">
        <v>648900</v>
      </c>
      <c r="P774">
        <v>73190.11</v>
      </c>
      <c r="Q774">
        <v>0</v>
      </c>
      <c r="R774">
        <v>0</v>
      </c>
      <c r="S774">
        <v>0.036</v>
      </c>
      <c r="T774" t="s">
        <v>25</v>
      </c>
    </row>
    <row r="775" spans="1:20" ht="15">
      <c r="A775" t="s">
        <v>19</v>
      </c>
      <c r="B775" t="s">
        <v>20</v>
      </c>
      <c r="C775" t="str">
        <f t="shared" si="12"/>
        <v>31-Dec-21</v>
      </c>
      <c r="D775" t="s">
        <v>21</v>
      </c>
      <c r="E775" t="s">
        <v>22</v>
      </c>
      <c r="F775" t="str">
        <f>"BNR5PB4"</f>
        <v>BNR5PB4</v>
      </c>
      <c r="G775" t="s">
        <v>806</v>
      </c>
      <c r="I775" t="s">
        <v>581</v>
      </c>
      <c r="J775">
        <v>0.112791041</v>
      </c>
      <c r="K775">
        <v>57944</v>
      </c>
      <c r="L775">
        <v>536793.2</v>
      </c>
      <c r="M775">
        <v>55919.97</v>
      </c>
      <c r="N775">
        <v>6.87</v>
      </c>
      <c r="O775">
        <v>398075.28</v>
      </c>
      <c r="P775">
        <v>44899.33</v>
      </c>
      <c r="Q775">
        <v>0</v>
      </c>
      <c r="R775">
        <v>0</v>
      </c>
      <c r="S775">
        <v>0.022</v>
      </c>
      <c r="T775" t="s">
        <v>25</v>
      </c>
    </row>
    <row r="776" spans="1:20" ht="15">
      <c r="A776" t="s">
        <v>19</v>
      </c>
      <c r="B776" t="s">
        <v>20</v>
      </c>
      <c r="C776" t="str">
        <f t="shared" si="12"/>
        <v>31-Dec-21</v>
      </c>
      <c r="D776" t="s">
        <v>21</v>
      </c>
      <c r="E776" t="s">
        <v>22</v>
      </c>
      <c r="F776" t="str">
        <f>"B04KP88"</f>
        <v>B04KP88</v>
      </c>
      <c r="G776" t="s">
        <v>807</v>
      </c>
      <c r="I776" t="s">
        <v>581</v>
      </c>
      <c r="J776">
        <v>0.112791041</v>
      </c>
      <c r="K776">
        <v>23280</v>
      </c>
      <c r="L776">
        <v>390705.84</v>
      </c>
      <c r="M776">
        <v>41227.84</v>
      </c>
      <c r="N776">
        <v>21.35</v>
      </c>
      <c r="O776">
        <v>497028</v>
      </c>
      <c r="P776">
        <v>56060.31</v>
      </c>
      <c r="Q776">
        <v>0</v>
      </c>
      <c r="R776">
        <v>0</v>
      </c>
      <c r="S776">
        <v>0.028</v>
      </c>
      <c r="T776" t="s">
        <v>25</v>
      </c>
    </row>
    <row r="777" spans="1:20" ht="15">
      <c r="A777" t="s">
        <v>19</v>
      </c>
      <c r="B777" t="s">
        <v>20</v>
      </c>
      <c r="C777" t="str">
        <f t="shared" si="12"/>
        <v>31-Dec-21</v>
      </c>
      <c r="D777" t="s">
        <v>21</v>
      </c>
      <c r="E777" t="s">
        <v>22</v>
      </c>
      <c r="F777" t="str">
        <f>"B1H5082"</f>
        <v>B1H5082</v>
      </c>
      <c r="G777" t="s">
        <v>808</v>
      </c>
      <c r="I777" t="s">
        <v>581</v>
      </c>
      <c r="J777">
        <v>0.112791041</v>
      </c>
      <c r="K777">
        <v>46000</v>
      </c>
      <c r="L777">
        <v>250161.95</v>
      </c>
      <c r="M777">
        <v>23694.34</v>
      </c>
      <c r="N777">
        <v>6.66</v>
      </c>
      <c r="O777">
        <v>306360</v>
      </c>
      <c r="P777">
        <v>34554.66</v>
      </c>
      <c r="Q777">
        <v>0</v>
      </c>
      <c r="R777">
        <v>0</v>
      </c>
      <c r="S777">
        <v>0.017</v>
      </c>
      <c r="T777" t="s">
        <v>25</v>
      </c>
    </row>
    <row r="778" spans="1:20" ht="15">
      <c r="A778" t="s">
        <v>19</v>
      </c>
      <c r="B778" t="s">
        <v>20</v>
      </c>
      <c r="C778" t="str">
        <f t="shared" si="12"/>
        <v>31-Dec-21</v>
      </c>
      <c r="D778" t="s">
        <v>21</v>
      </c>
      <c r="E778" t="s">
        <v>22</v>
      </c>
      <c r="F778" t="str">
        <f>"6990763"</f>
        <v>6990763</v>
      </c>
      <c r="G778" t="s">
        <v>809</v>
      </c>
      <c r="I778" t="s">
        <v>581</v>
      </c>
      <c r="J778">
        <v>0.112791041</v>
      </c>
      <c r="K778">
        <v>58000</v>
      </c>
      <c r="L778">
        <v>512269.36</v>
      </c>
      <c r="M778">
        <v>53913.86</v>
      </c>
      <c r="N778">
        <v>6.95</v>
      </c>
      <c r="O778">
        <v>403100</v>
      </c>
      <c r="P778">
        <v>45466.07</v>
      </c>
      <c r="Q778">
        <v>0</v>
      </c>
      <c r="R778">
        <v>0</v>
      </c>
      <c r="S778">
        <v>0.023</v>
      </c>
      <c r="T778" t="s">
        <v>25</v>
      </c>
    </row>
    <row r="779" spans="1:20" ht="15">
      <c r="A779" t="s">
        <v>19</v>
      </c>
      <c r="B779" t="s">
        <v>20</v>
      </c>
      <c r="C779" t="str">
        <f t="shared" si="12"/>
        <v>31-Dec-21</v>
      </c>
      <c r="D779" t="s">
        <v>21</v>
      </c>
      <c r="E779" t="s">
        <v>22</v>
      </c>
      <c r="F779" t="str">
        <f>"BYZQ099"</f>
        <v>BYZQ099</v>
      </c>
      <c r="G779" t="s">
        <v>810</v>
      </c>
      <c r="I779" t="s">
        <v>581</v>
      </c>
      <c r="J779">
        <v>0.112791041</v>
      </c>
      <c r="K779">
        <v>13500</v>
      </c>
      <c r="L779">
        <v>495069.14</v>
      </c>
      <c r="M779">
        <v>53296.02</v>
      </c>
      <c r="N779">
        <v>27.1</v>
      </c>
      <c r="O779">
        <v>365850</v>
      </c>
      <c r="P779">
        <v>41264.6</v>
      </c>
      <c r="Q779">
        <v>0</v>
      </c>
      <c r="R779">
        <v>0</v>
      </c>
      <c r="S779">
        <v>0.02</v>
      </c>
      <c r="T779" t="s">
        <v>25</v>
      </c>
    </row>
    <row r="780" spans="1:20" ht="15">
      <c r="A780" t="s">
        <v>19</v>
      </c>
      <c r="B780" t="s">
        <v>20</v>
      </c>
      <c r="C780" t="str">
        <f t="shared" si="12"/>
        <v>31-Dec-21</v>
      </c>
      <c r="D780" t="s">
        <v>21</v>
      </c>
      <c r="E780" t="s">
        <v>22</v>
      </c>
      <c r="F780" t="str">
        <f>"B633D97"</f>
        <v>B633D97</v>
      </c>
      <c r="G780" t="s">
        <v>811</v>
      </c>
      <c r="I780" t="s">
        <v>581</v>
      </c>
      <c r="J780">
        <v>0.112791041</v>
      </c>
      <c r="K780">
        <v>22500</v>
      </c>
      <c r="L780">
        <v>393705.24</v>
      </c>
      <c r="M780">
        <v>44630.26</v>
      </c>
      <c r="N780">
        <v>60.8</v>
      </c>
      <c r="O780">
        <v>1368000</v>
      </c>
      <c r="P780">
        <v>154298.14</v>
      </c>
      <c r="Q780">
        <v>0</v>
      </c>
      <c r="R780">
        <v>0</v>
      </c>
      <c r="S780">
        <v>0.076</v>
      </c>
      <c r="T780" t="s">
        <v>25</v>
      </c>
    </row>
    <row r="781" spans="1:20" ht="15">
      <c r="A781" t="s">
        <v>19</v>
      </c>
      <c r="B781" t="s">
        <v>20</v>
      </c>
      <c r="C781" t="str">
        <f t="shared" si="12"/>
        <v>31-Dec-21</v>
      </c>
      <c r="D781" t="s">
        <v>21</v>
      </c>
      <c r="E781" t="s">
        <v>22</v>
      </c>
      <c r="F781" t="str">
        <f>"B1L3XL6"</f>
        <v>B1L3XL6</v>
      </c>
      <c r="G781" t="s">
        <v>812</v>
      </c>
      <c r="I781" t="s">
        <v>581</v>
      </c>
      <c r="J781">
        <v>0.112791041</v>
      </c>
      <c r="K781">
        <v>14500</v>
      </c>
      <c r="L781">
        <v>508779.51</v>
      </c>
      <c r="M781">
        <v>53708.32</v>
      </c>
      <c r="N781">
        <v>45.15</v>
      </c>
      <c r="O781">
        <v>654675</v>
      </c>
      <c r="P781">
        <v>73841.48</v>
      </c>
      <c r="Q781">
        <v>0</v>
      </c>
      <c r="R781">
        <v>0</v>
      </c>
      <c r="S781">
        <v>0.037</v>
      </c>
      <c r="T781" t="s">
        <v>25</v>
      </c>
    </row>
    <row r="782" spans="1:20" ht="15">
      <c r="A782" t="s">
        <v>19</v>
      </c>
      <c r="B782" t="s">
        <v>20</v>
      </c>
      <c r="C782" t="str">
        <f t="shared" si="12"/>
        <v>31-Dec-21</v>
      </c>
      <c r="D782" t="s">
        <v>21</v>
      </c>
      <c r="E782" t="s">
        <v>22</v>
      </c>
      <c r="F782" t="str">
        <f>"6725299"</f>
        <v>6725299</v>
      </c>
      <c r="G782" t="s">
        <v>813</v>
      </c>
      <c r="I782" t="s">
        <v>581</v>
      </c>
      <c r="J782">
        <v>0.112791041</v>
      </c>
      <c r="K782">
        <v>186000</v>
      </c>
      <c r="L782">
        <v>491648.01</v>
      </c>
      <c r="M782">
        <v>52701.73</v>
      </c>
      <c r="N782">
        <v>9.28</v>
      </c>
      <c r="O782">
        <v>1726080</v>
      </c>
      <c r="P782">
        <v>194686.36</v>
      </c>
      <c r="Q782">
        <v>0</v>
      </c>
      <c r="R782">
        <v>0</v>
      </c>
      <c r="S782">
        <v>0.097</v>
      </c>
      <c r="T782" t="s">
        <v>25</v>
      </c>
    </row>
    <row r="783" spans="1:20" ht="15">
      <c r="A783" t="s">
        <v>19</v>
      </c>
      <c r="B783" t="s">
        <v>20</v>
      </c>
      <c r="C783" t="str">
        <f t="shared" si="12"/>
        <v>31-Dec-21</v>
      </c>
      <c r="D783" t="s">
        <v>21</v>
      </c>
      <c r="E783" t="s">
        <v>22</v>
      </c>
      <c r="F783" t="str">
        <f>"B544N70"</f>
        <v>B544N70</v>
      </c>
      <c r="G783" t="s">
        <v>814</v>
      </c>
      <c r="I783" t="s">
        <v>581</v>
      </c>
      <c r="J783">
        <v>0.112791041</v>
      </c>
      <c r="K783">
        <v>53600</v>
      </c>
      <c r="L783">
        <v>433660.65</v>
      </c>
      <c r="M783">
        <v>47586.04</v>
      </c>
      <c r="N783">
        <v>4.91</v>
      </c>
      <c r="O783">
        <v>263176</v>
      </c>
      <c r="P783">
        <v>29683.9</v>
      </c>
      <c r="Q783">
        <v>0</v>
      </c>
      <c r="R783">
        <v>0</v>
      </c>
      <c r="S783">
        <v>0.015</v>
      </c>
      <c r="T783" t="s">
        <v>25</v>
      </c>
    </row>
    <row r="784" spans="1:20" ht="15">
      <c r="A784" t="s">
        <v>19</v>
      </c>
      <c r="B784" t="s">
        <v>20</v>
      </c>
      <c r="C784" t="str">
        <f t="shared" si="12"/>
        <v>31-Dec-21</v>
      </c>
      <c r="D784" t="s">
        <v>21</v>
      </c>
      <c r="E784" t="s">
        <v>39</v>
      </c>
      <c r="I784" t="s">
        <v>581</v>
      </c>
      <c r="J784">
        <v>0.112791041</v>
      </c>
      <c r="K784">
        <v>0</v>
      </c>
      <c r="L784">
        <v>207503.29</v>
      </c>
      <c r="M784">
        <v>23587.7</v>
      </c>
      <c r="N784">
        <v>0</v>
      </c>
      <c r="O784">
        <v>207503.29</v>
      </c>
      <c r="P784">
        <v>23404.51</v>
      </c>
      <c r="Q784">
        <v>0</v>
      </c>
      <c r="R784">
        <v>0</v>
      </c>
      <c r="S784">
        <v>0.012</v>
      </c>
      <c r="T784" t="s">
        <v>815</v>
      </c>
    </row>
    <row r="785" spans="1:20" ht="15">
      <c r="A785" t="s">
        <v>19</v>
      </c>
      <c r="B785" t="s">
        <v>20</v>
      </c>
      <c r="C785" t="str">
        <f t="shared" si="12"/>
        <v>31-Dec-21</v>
      </c>
      <c r="D785" t="s">
        <v>21</v>
      </c>
      <c r="E785" t="s">
        <v>22</v>
      </c>
      <c r="F785" t="str">
        <f>"BD5ZXH8"</f>
        <v>BD5ZXH8</v>
      </c>
      <c r="G785" t="s">
        <v>816</v>
      </c>
      <c r="I785" t="s">
        <v>817</v>
      </c>
      <c r="J785">
        <v>0.002713225</v>
      </c>
      <c r="K785">
        <v>12391</v>
      </c>
      <c r="L785">
        <v>24009743.49</v>
      </c>
      <c r="M785">
        <v>77341.76</v>
      </c>
      <c r="N785">
        <v>2520</v>
      </c>
      <c r="O785">
        <v>31225320</v>
      </c>
      <c r="P785">
        <v>84721.33</v>
      </c>
      <c r="Q785">
        <v>0</v>
      </c>
      <c r="R785">
        <v>0</v>
      </c>
      <c r="S785">
        <v>0.042</v>
      </c>
      <c r="T785" t="s">
        <v>25</v>
      </c>
    </row>
    <row r="786" spans="1:20" ht="15">
      <c r="A786" t="s">
        <v>19</v>
      </c>
      <c r="B786" t="s">
        <v>20</v>
      </c>
      <c r="C786" t="str">
        <f t="shared" si="12"/>
        <v>31-Dec-21</v>
      </c>
      <c r="D786" t="s">
        <v>21</v>
      </c>
      <c r="E786" t="s">
        <v>22</v>
      </c>
      <c r="F786" t="str">
        <f>"4577469"</f>
        <v>4577469</v>
      </c>
      <c r="G786" t="s">
        <v>818</v>
      </c>
      <c r="I786" t="s">
        <v>817</v>
      </c>
      <c r="J786">
        <v>0.002713225</v>
      </c>
      <c r="K786">
        <v>11777</v>
      </c>
      <c r="L786">
        <v>4180358.95</v>
      </c>
      <c r="M786">
        <v>13708.55</v>
      </c>
      <c r="N786">
        <v>411.5</v>
      </c>
      <c r="O786">
        <v>4846235.5</v>
      </c>
      <c r="P786">
        <v>13148.93</v>
      </c>
      <c r="Q786">
        <v>0</v>
      </c>
      <c r="R786">
        <v>0</v>
      </c>
      <c r="S786">
        <v>0.007</v>
      </c>
      <c r="T786" t="s">
        <v>25</v>
      </c>
    </row>
    <row r="787" spans="1:20" ht="15">
      <c r="A787" t="s">
        <v>19</v>
      </c>
      <c r="B787" t="s">
        <v>20</v>
      </c>
      <c r="C787" t="str">
        <f t="shared" si="12"/>
        <v>31-Dec-21</v>
      </c>
      <c r="D787" t="s">
        <v>21</v>
      </c>
      <c r="E787" t="s">
        <v>22</v>
      </c>
      <c r="F787" t="str">
        <f>"7320154"</f>
        <v>7320154</v>
      </c>
      <c r="G787" t="s">
        <v>819</v>
      </c>
      <c r="I787" t="s">
        <v>817</v>
      </c>
      <c r="J787">
        <v>0.002713225</v>
      </c>
      <c r="K787">
        <v>7629</v>
      </c>
      <c r="L787">
        <v>64416242.98</v>
      </c>
      <c r="M787">
        <v>198852.59</v>
      </c>
      <c r="N787">
        <v>16600</v>
      </c>
      <c r="O787">
        <v>126641400</v>
      </c>
      <c r="P787">
        <v>343606.65</v>
      </c>
      <c r="Q787">
        <v>0</v>
      </c>
      <c r="R787">
        <v>0</v>
      </c>
      <c r="S787">
        <v>0.17</v>
      </c>
      <c r="T787" t="s">
        <v>25</v>
      </c>
    </row>
    <row r="788" spans="1:20" ht="15">
      <c r="A788" t="s">
        <v>19</v>
      </c>
      <c r="B788" t="s">
        <v>20</v>
      </c>
      <c r="C788" t="str">
        <f t="shared" si="12"/>
        <v>31-Dec-21</v>
      </c>
      <c r="D788" t="s">
        <v>21</v>
      </c>
      <c r="E788" t="s">
        <v>22</v>
      </c>
      <c r="F788" t="str">
        <f>"BC9ZH86"</f>
        <v>BC9ZH86</v>
      </c>
      <c r="G788" t="s">
        <v>820</v>
      </c>
      <c r="I788" t="s">
        <v>817</v>
      </c>
      <c r="J788">
        <v>0.002713225</v>
      </c>
      <c r="K788">
        <v>4267</v>
      </c>
      <c r="L788">
        <v>21958015.66</v>
      </c>
      <c r="M788">
        <v>69199.16</v>
      </c>
      <c r="N788">
        <v>8725</v>
      </c>
      <c r="O788">
        <v>37229575</v>
      </c>
      <c r="P788">
        <v>101012.23</v>
      </c>
      <c r="Q788">
        <v>0</v>
      </c>
      <c r="R788">
        <v>0</v>
      </c>
      <c r="S788">
        <v>0.05</v>
      </c>
      <c r="T788" t="s">
        <v>25</v>
      </c>
    </row>
    <row r="789" spans="1:20" ht="15">
      <c r="A789" t="s">
        <v>19</v>
      </c>
      <c r="B789" t="s">
        <v>20</v>
      </c>
      <c r="C789" t="str">
        <f t="shared" si="12"/>
        <v>31-Dec-21</v>
      </c>
      <c r="D789" t="s">
        <v>21</v>
      </c>
      <c r="E789" t="s">
        <v>39</v>
      </c>
      <c r="I789" t="s">
        <v>817</v>
      </c>
      <c r="J789">
        <v>0.002713225</v>
      </c>
      <c r="K789">
        <v>0</v>
      </c>
      <c r="L789">
        <v>2936537.83</v>
      </c>
      <c r="M789">
        <v>8109.48</v>
      </c>
      <c r="N789">
        <v>0</v>
      </c>
      <c r="O789">
        <v>2936537.83</v>
      </c>
      <c r="P789">
        <v>7967.49</v>
      </c>
      <c r="Q789">
        <v>0</v>
      </c>
      <c r="R789">
        <v>0</v>
      </c>
      <c r="S789">
        <v>0.004</v>
      </c>
      <c r="T789" t="s">
        <v>821</v>
      </c>
    </row>
    <row r="790" spans="1:20" ht="15">
      <c r="A790" t="s">
        <v>19</v>
      </c>
      <c r="B790" t="s">
        <v>20</v>
      </c>
      <c r="C790" t="str">
        <f t="shared" si="12"/>
        <v>31-Dec-21</v>
      </c>
      <c r="D790" t="s">
        <v>21</v>
      </c>
      <c r="E790" t="s">
        <v>22</v>
      </c>
      <c r="F790" t="str">
        <f>"B3BQFC4"</f>
        <v>B3BQFC4</v>
      </c>
      <c r="G790" t="s">
        <v>822</v>
      </c>
      <c r="I790" t="s">
        <v>823</v>
      </c>
      <c r="J790">
        <v>6.1698E-05</v>
      </c>
      <c r="K790">
        <v>485400</v>
      </c>
      <c r="L790">
        <v>478450522.24</v>
      </c>
      <c r="M790">
        <v>30580.87</v>
      </c>
      <c r="N790">
        <v>2250</v>
      </c>
      <c r="O790">
        <v>1092150000</v>
      </c>
      <c r="P790">
        <v>67383.63</v>
      </c>
      <c r="Q790">
        <v>62193331.2</v>
      </c>
      <c r="R790">
        <v>3837.22</v>
      </c>
      <c r="S790">
        <v>0.035</v>
      </c>
      <c r="T790" t="s">
        <v>25</v>
      </c>
    </row>
    <row r="791" spans="1:20" ht="15">
      <c r="A791" t="s">
        <v>19</v>
      </c>
      <c r="B791" t="s">
        <v>20</v>
      </c>
      <c r="C791" t="str">
        <f t="shared" si="12"/>
        <v>31-Dec-21</v>
      </c>
      <c r="D791" t="s">
        <v>21</v>
      </c>
      <c r="E791" t="s">
        <v>22</v>
      </c>
      <c r="F791" t="str">
        <f>"6092498"</f>
        <v>6092498</v>
      </c>
      <c r="G791" t="s">
        <v>824</v>
      </c>
      <c r="I791" t="s">
        <v>823</v>
      </c>
      <c r="J791">
        <v>6.1698E-05</v>
      </c>
      <c r="K791">
        <v>14533</v>
      </c>
      <c r="L791">
        <v>198063210.66</v>
      </c>
      <c r="M791">
        <v>12872.66</v>
      </c>
      <c r="N791">
        <v>9500</v>
      </c>
      <c r="O791">
        <v>138063500</v>
      </c>
      <c r="P791">
        <v>8518.26</v>
      </c>
      <c r="Q791">
        <v>0</v>
      </c>
      <c r="R791">
        <v>0</v>
      </c>
      <c r="S791">
        <v>0.004</v>
      </c>
      <c r="T791" t="s">
        <v>25</v>
      </c>
    </row>
    <row r="792" spans="1:20" ht="15">
      <c r="A792" t="s">
        <v>19</v>
      </c>
      <c r="B792" t="s">
        <v>20</v>
      </c>
      <c r="C792" t="str">
        <f t="shared" si="12"/>
        <v>31-Dec-21</v>
      </c>
      <c r="D792" t="s">
        <v>21</v>
      </c>
      <c r="E792" t="s">
        <v>22</v>
      </c>
      <c r="F792" t="str">
        <f>"B800MQ5"</f>
        <v>B800MQ5</v>
      </c>
      <c r="G792" t="s">
        <v>825</v>
      </c>
      <c r="I792" t="s">
        <v>823</v>
      </c>
      <c r="J792">
        <v>6.1698E-05</v>
      </c>
      <c r="K792">
        <v>687200</v>
      </c>
      <c r="L792">
        <v>4782319144.97</v>
      </c>
      <c r="M792">
        <v>308908.71</v>
      </c>
      <c r="N792">
        <v>5700</v>
      </c>
      <c r="O792">
        <v>3917040000</v>
      </c>
      <c r="P792">
        <v>241674.1</v>
      </c>
      <c r="Q792">
        <v>0</v>
      </c>
      <c r="R792">
        <v>0</v>
      </c>
      <c r="S792">
        <v>0.12</v>
      </c>
      <c r="T792" t="s">
        <v>25</v>
      </c>
    </row>
    <row r="793" spans="1:20" ht="15">
      <c r="A793" t="s">
        <v>19</v>
      </c>
      <c r="B793" t="s">
        <v>20</v>
      </c>
      <c r="C793" t="str">
        <f t="shared" si="12"/>
        <v>31-Dec-21</v>
      </c>
      <c r="D793" t="s">
        <v>21</v>
      </c>
      <c r="E793" t="s">
        <v>22</v>
      </c>
      <c r="F793" t="str">
        <f>"6070706"</f>
        <v>6070706</v>
      </c>
      <c r="G793" t="s">
        <v>826</v>
      </c>
      <c r="I793" t="s">
        <v>823</v>
      </c>
      <c r="J793">
        <v>6.1698E-05</v>
      </c>
      <c r="K793">
        <v>980100</v>
      </c>
      <c r="L793">
        <v>897945744.28</v>
      </c>
      <c r="M793">
        <v>54963.47</v>
      </c>
      <c r="N793">
        <v>855</v>
      </c>
      <c r="O793">
        <v>837985500</v>
      </c>
      <c r="P793">
        <v>51702.15</v>
      </c>
      <c r="Q793">
        <v>0</v>
      </c>
      <c r="R793">
        <v>0</v>
      </c>
      <c r="S793">
        <v>0.026</v>
      </c>
      <c r="T793" t="s">
        <v>25</v>
      </c>
    </row>
    <row r="794" spans="1:20" ht="15">
      <c r="A794" t="s">
        <v>19</v>
      </c>
      <c r="B794" t="s">
        <v>20</v>
      </c>
      <c r="C794" t="str">
        <f t="shared" si="12"/>
        <v>31-Dec-21</v>
      </c>
      <c r="D794" t="s">
        <v>21</v>
      </c>
      <c r="E794" t="s">
        <v>22</v>
      </c>
      <c r="F794" t="str">
        <f>"B01C1P6"</f>
        <v>B01C1P6</v>
      </c>
      <c r="G794" t="s">
        <v>827</v>
      </c>
      <c r="I794" t="s">
        <v>823</v>
      </c>
      <c r="J794">
        <v>6.1698E-05</v>
      </c>
      <c r="K794">
        <v>1510500</v>
      </c>
      <c r="L794">
        <v>5354991442.83</v>
      </c>
      <c r="M794">
        <v>342062.18</v>
      </c>
      <c r="N794">
        <v>7300</v>
      </c>
      <c r="O794">
        <v>11026650000</v>
      </c>
      <c r="P794">
        <v>680323.84</v>
      </c>
      <c r="Q794">
        <v>0</v>
      </c>
      <c r="R794">
        <v>0</v>
      </c>
      <c r="S794">
        <v>0.337</v>
      </c>
      <c r="T794" t="s">
        <v>25</v>
      </c>
    </row>
    <row r="795" spans="1:20" ht="15">
      <c r="A795" t="s">
        <v>19</v>
      </c>
      <c r="B795" t="s">
        <v>20</v>
      </c>
      <c r="C795" t="str">
        <f t="shared" si="12"/>
        <v>31-Dec-21</v>
      </c>
      <c r="D795" t="s">
        <v>21</v>
      </c>
      <c r="E795" t="s">
        <v>22</v>
      </c>
      <c r="F795" t="str">
        <f>"6651048"</f>
        <v>6651048</v>
      </c>
      <c r="G795" t="s">
        <v>828</v>
      </c>
      <c r="I795" t="s">
        <v>823</v>
      </c>
      <c r="J795">
        <v>6.1698E-05</v>
      </c>
      <c r="K795">
        <v>585400</v>
      </c>
      <c r="L795">
        <v>3057911623.08</v>
      </c>
      <c r="M795">
        <v>192922.28</v>
      </c>
      <c r="N795">
        <v>7025</v>
      </c>
      <c r="O795">
        <v>4112435000</v>
      </c>
      <c r="P795">
        <v>253729.61</v>
      </c>
      <c r="Q795">
        <v>0</v>
      </c>
      <c r="R795">
        <v>0</v>
      </c>
      <c r="S795">
        <v>0.126</v>
      </c>
      <c r="T795" t="s">
        <v>25</v>
      </c>
    </row>
    <row r="796" spans="1:20" ht="15">
      <c r="A796" t="s">
        <v>19</v>
      </c>
      <c r="B796" t="s">
        <v>20</v>
      </c>
      <c r="C796" t="str">
        <f t="shared" si="12"/>
        <v>31-Dec-21</v>
      </c>
      <c r="D796" t="s">
        <v>21</v>
      </c>
      <c r="E796" t="s">
        <v>22</v>
      </c>
      <c r="F796" t="str">
        <f>"6727121"</f>
        <v>6727121</v>
      </c>
      <c r="G796" t="s">
        <v>829</v>
      </c>
      <c r="I796" t="s">
        <v>823</v>
      </c>
      <c r="J796">
        <v>6.1698E-05</v>
      </c>
      <c r="K796">
        <v>221300</v>
      </c>
      <c r="L796">
        <v>1356184310.76</v>
      </c>
      <c r="M796">
        <v>84609.84</v>
      </c>
      <c r="N796">
        <v>6750</v>
      </c>
      <c r="O796">
        <v>1493775000</v>
      </c>
      <c r="P796">
        <v>92163.14</v>
      </c>
      <c r="Q796">
        <v>0</v>
      </c>
      <c r="R796">
        <v>0</v>
      </c>
      <c r="S796">
        <v>0.046</v>
      </c>
      <c r="T796" t="s">
        <v>25</v>
      </c>
    </row>
    <row r="797" spans="1:20" ht="15">
      <c r="A797" t="s">
        <v>19</v>
      </c>
      <c r="B797" t="s">
        <v>20</v>
      </c>
      <c r="C797" t="str">
        <f t="shared" si="12"/>
        <v>31-Dec-21</v>
      </c>
      <c r="D797" t="s">
        <v>21</v>
      </c>
      <c r="E797" t="s">
        <v>22</v>
      </c>
      <c r="F797" t="str">
        <f>"6709099"</f>
        <v>6709099</v>
      </c>
      <c r="G797" t="s">
        <v>830</v>
      </c>
      <c r="I797" t="s">
        <v>823</v>
      </c>
      <c r="J797">
        <v>6.1698E-05</v>
      </c>
      <c r="K797">
        <v>2150573</v>
      </c>
      <c r="L797">
        <v>5990728070.01</v>
      </c>
      <c r="M797">
        <v>376673.15</v>
      </c>
      <c r="N797">
        <v>4110</v>
      </c>
      <c r="O797">
        <v>8838855030</v>
      </c>
      <c r="P797">
        <v>545340.95</v>
      </c>
      <c r="Q797">
        <v>0</v>
      </c>
      <c r="R797">
        <v>0</v>
      </c>
      <c r="S797">
        <v>0.27</v>
      </c>
      <c r="T797" t="s">
        <v>25</v>
      </c>
    </row>
    <row r="798" spans="1:20" ht="15">
      <c r="A798" t="s">
        <v>19</v>
      </c>
      <c r="B798" t="s">
        <v>20</v>
      </c>
      <c r="C798" t="str">
        <f t="shared" si="12"/>
        <v>31-Dec-21</v>
      </c>
      <c r="D798" t="s">
        <v>21</v>
      </c>
      <c r="E798" t="s">
        <v>22</v>
      </c>
      <c r="F798" t="str">
        <f>"6565127"</f>
        <v>6565127</v>
      </c>
      <c r="G798" t="s">
        <v>831</v>
      </c>
      <c r="I798" t="s">
        <v>823</v>
      </c>
      <c r="J798">
        <v>6.1698E-05</v>
      </c>
      <c r="K798">
        <v>168800</v>
      </c>
      <c r="L798">
        <v>403956461.6</v>
      </c>
      <c r="M798">
        <v>25968.02</v>
      </c>
      <c r="N798">
        <v>2710</v>
      </c>
      <c r="O798">
        <v>457448000</v>
      </c>
      <c r="P798">
        <v>28223.69</v>
      </c>
      <c r="Q798">
        <v>0</v>
      </c>
      <c r="R798">
        <v>0</v>
      </c>
      <c r="S798">
        <v>0.014</v>
      </c>
      <c r="T798" t="s">
        <v>25</v>
      </c>
    </row>
    <row r="799" spans="1:20" ht="15">
      <c r="A799" t="s">
        <v>19</v>
      </c>
      <c r="B799" t="s">
        <v>20</v>
      </c>
      <c r="C799" t="str">
        <f t="shared" si="12"/>
        <v>31-Dec-21</v>
      </c>
      <c r="D799" t="s">
        <v>21</v>
      </c>
      <c r="E799" t="s">
        <v>22</v>
      </c>
      <c r="F799" t="str">
        <f>"B2RJPM0"</f>
        <v>B2RJPM0</v>
      </c>
      <c r="G799" t="s">
        <v>832</v>
      </c>
      <c r="I799" t="s">
        <v>823</v>
      </c>
      <c r="J799">
        <v>6.1698E-05</v>
      </c>
      <c r="K799">
        <v>330100</v>
      </c>
      <c r="L799">
        <v>607029461.6</v>
      </c>
      <c r="M799">
        <v>38268.68</v>
      </c>
      <c r="N799">
        <v>1010</v>
      </c>
      <c r="O799">
        <v>333401000</v>
      </c>
      <c r="P799">
        <v>20570.22</v>
      </c>
      <c r="Q799">
        <v>0</v>
      </c>
      <c r="R799">
        <v>0</v>
      </c>
      <c r="S799">
        <v>0.01</v>
      </c>
      <c r="T799" t="s">
        <v>25</v>
      </c>
    </row>
    <row r="800" spans="1:20" ht="15">
      <c r="A800" t="s">
        <v>19</v>
      </c>
      <c r="B800" t="s">
        <v>20</v>
      </c>
      <c r="C800" t="str">
        <f t="shared" si="12"/>
        <v>31-Dec-21</v>
      </c>
      <c r="D800" t="s">
        <v>21</v>
      </c>
      <c r="E800" t="s">
        <v>22</v>
      </c>
      <c r="F800" t="str">
        <f>"6315344"</f>
        <v>6315344</v>
      </c>
      <c r="G800" t="s">
        <v>833</v>
      </c>
      <c r="I800" t="s">
        <v>823</v>
      </c>
      <c r="J800">
        <v>6.1698E-05</v>
      </c>
      <c r="K800">
        <v>230700</v>
      </c>
      <c r="L800">
        <v>1048562457.67</v>
      </c>
      <c r="M800">
        <v>66541.99</v>
      </c>
      <c r="N800">
        <v>5950</v>
      </c>
      <c r="O800">
        <v>1372665000</v>
      </c>
      <c r="P800">
        <v>84690.88</v>
      </c>
      <c r="Q800">
        <v>0</v>
      </c>
      <c r="R800">
        <v>0</v>
      </c>
      <c r="S800">
        <v>0.042</v>
      </c>
      <c r="T800" t="s">
        <v>25</v>
      </c>
    </row>
    <row r="801" spans="1:20" ht="15">
      <c r="A801" t="s">
        <v>19</v>
      </c>
      <c r="B801" t="s">
        <v>20</v>
      </c>
      <c r="C801" t="str">
        <f t="shared" si="12"/>
        <v>31-Dec-21</v>
      </c>
      <c r="D801" t="s">
        <v>21</v>
      </c>
      <c r="E801" t="s">
        <v>22</v>
      </c>
      <c r="F801" t="str">
        <f>"6366999"</f>
        <v>6366999</v>
      </c>
      <c r="G801" t="s">
        <v>834</v>
      </c>
      <c r="I801" t="s">
        <v>823</v>
      </c>
      <c r="J801">
        <v>6.1698E-05</v>
      </c>
      <c r="K801">
        <v>15800</v>
      </c>
      <c r="L801">
        <v>806787154</v>
      </c>
      <c r="M801">
        <v>52928.84</v>
      </c>
      <c r="N801">
        <v>30600</v>
      </c>
      <c r="O801">
        <v>483480000</v>
      </c>
      <c r="P801">
        <v>29829.82</v>
      </c>
      <c r="Q801">
        <v>0</v>
      </c>
      <c r="R801">
        <v>0</v>
      </c>
      <c r="S801">
        <v>0.015</v>
      </c>
      <c r="T801" t="s">
        <v>25</v>
      </c>
    </row>
    <row r="802" spans="1:20" ht="15">
      <c r="A802" t="s">
        <v>19</v>
      </c>
      <c r="B802" t="s">
        <v>20</v>
      </c>
      <c r="C802" t="str">
        <f t="shared" si="12"/>
        <v>31-Dec-21</v>
      </c>
      <c r="D802" t="s">
        <v>21</v>
      </c>
      <c r="E802" t="s">
        <v>22</v>
      </c>
      <c r="F802" t="str">
        <f>"6404242"</f>
        <v>6404242</v>
      </c>
      <c r="G802" t="s">
        <v>835</v>
      </c>
      <c r="I802" t="s">
        <v>823</v>
      </c>
      <c r="J802">
        <v>6.1698E-05</v>
      </c>
      <c r="K802">
        <v>333900</v>
      </c>
      <c r="L802">
        <v>1237639261.23</v>
      </c>
      <c r="M802">
        <v>85552.36</v>
      </c>
      <c r="N802">
        <v>965</v>
      </c>
      <c r="O802">
        <v>322213500</v>
      </c>
      <c r="P802">
        <v>19879.97</v>
      </c>
      <c r="Q802">
        <v>0</v>
      </c>
      <c r="R802">
        <v>0</v>
      </c>
      <c r="S802">
        <v>0.01</v>
      </c>
      <c r="T802" t="s">
        <v>25</v>
      </c>
    </row>
    <row r="803" spans="1:20" ht="15">
      <c r="A803" t="s">
        <v>19</v>
      </c>
      <c r="B803" t="s">
        <v>20</v>
      </c>
      <c r="C803" t="str">
        <f t="shared" si="12"/>
        <v>31-Dec-21</v>
      </c>
      <c r="D803" t="s">
        <v>21</v>
      </c>
      <c r="E803" t="s">
        <v>22</v>
      </c>
      <c r="F803" t="str">
        <f>"6462422"</f>
        <v>6462422</v>
      </c>
      <c r="G803" t="s">
        <v>836</v>
      </c>
      <c r="I803" t="s">
        <v>823</v>
      </c>
      <c r="J803">
        <v>6.1698E-05</v>
      </c>
      <c r="K803">
        <v>65200</v>
      </c>
      <c r="L803">
        <v>1079124142.66</v>
      </c>
      <c r="M803">
        <v>62081.94</v>
      </c>
      <c r="N803">
        <v>7825</v>
      </c>
      <c r="O803">
        <v>510190000</v>
      </c>
      <c r="P803">
        <v>31477.78</v>
      </c>
      <c r="Q803">
        <v>0</v>
      </c>
      <c r="R803">
        <v>0</v>
      </c>
      <c r="S803">
        <v>0.016</v>
      </c>
      <c r="T803" t="s">
        <v>25</v>
      </c>
    </row>
    <row r="804" spans="1:20" ht="15">
      <c r="A804" t="s">
        <v>19</v>
      </c>
      <c r="B804" t="s">
        <v>20</v>
      </c>
      <c r="C804" t="str">
        <f t="shared" si="12"/>
        <v>31-Dec-21</v>
      </c>
      <c r="D804" t="s">
        <v>21</v>
      </c>
      <c r="E804" t="s">
        <v>22</v>
      </c>
      <c r="F804" t="str">
        <f>"6454861"</f>
        <v>6454861</v>
      </c>
      <c r="G804" t="s">
        <v>837</v>
      </c>
      <c r="I804" t="s">
        <v>823</v>
      </c>
      <c r="J804">
        <v>6.1698E-05</v>
      </c>
      <c r="K804">
        <v>45100</v>
      </c>
      <c r="L804">
        <v>897001424.13</v>
      </c>
      <c r="M804">
        <v>58283.28</v>
      </c>
      <c r="N804">
        <v>12100</v>
      </c>
      <c r="O804">
        <v>545710000</v>
      </c>
      <c r="P804">
        <v>33669.29</v>
      </c>
      <c r="Q804">
        <v>0</v>
      </c>
      <c r="R804">
        <v>0</v>
      </c>
      <c r="S804">
        <v>0.017</v>
      </c>
      <c r="T804" t="s">
        <v>25</v>
      </c>
    </row>
    <row r="805" spans="1:20" ht="15">
      <c r="A805" t="s">
        <v>19</v>
      </c>
      <c r="B805" t="s">
        <v>20</v>
      </c>
      <c r="C805" t="str">
        <f t="shared" si="12"/>
        <v>31-Dec-21</v>
      </c>
      <c r="D805" t="s">
        <v>21</v>
      </c>
      <c r="E805" t="s">
        <v>22</v>
      </c>
      <c r="F805" t="str">
        <f>"B4LD3M8"</f>
        <v>B4LD3M8</v>
      </c>
      <c r="G805" t="s">
        <v>838</v>
      </c>
      <c r="I805" t="s">
        <v>823</v>
      </c>
      <c r="J805">
        <v>6.1698E-05</v>
      </c>
      <c r="K805">
        <v>90300</v>
      </c>
      <c r="L805">
        <v>656628180.08</v>
      </c>
      <c r="M805">
        <v>40511.96</v>
      </c>
      <c r="N805">
        <v>8700</v>
      </c>
      <c r="O805">
        <v>785610000</v>
      </c>
      <c r="P805">
        <v>48470.68</v>
      </c>
      <c r="Q805">
        <v>0</v>
      </c>
      <c r="R805">
        <v>0</v>
      </c>
      <c r="S805">
        <v>0.024</v>
      </c>
      <c r="T805" t="s">
        <v>25</v>
      </c>
    </row>
    <row r="806" spans="1:20" ht="15">
      <c r="A806" t="s">
        <v>19</v>
      </c>
      <c r="B806" t="s">
        <v>20</v>
      </c>
      <c r="C806" t="str">
        <f t="shared" si="12"/>
        <v>31-Dec-21</v>
      </c>
      <c r="D806" t="s">
        <v>21</v>
      </c>
      <c r="E806" t="s">
        <v>22</v>
      </c>
      <c r="F806" t="str">
        <f>"6283979"</f>
        <v>6283979</v>
      </c>
      <c r="G806" t="s">
        <v>839</v>
      </c>
      <c r="I806" t="s">
        <v>823</v>
      </c>
      <c r="J806">
        <v>6.1698E-05</v>
      </c>
      <c r="K806">
        <v>161700</v>
      </c>
      <c r="L806">
        <v>1121720675.08</v>
      </c>
      <c r="M806">
        <v>71982.21</v>
      </c>
      <c r="N806">
        <v>6325</v>
      </c>
      <c r="O806">
        <v>1022752500</v>
      </c>
      <c r="P806">
        <v>63101.93</v>
      </c>
      <c r="Q806">
        <v>0</v>
      </c>
      <c r="R806">
        <v>0</v>
      </c>
      <c r="S806">
        <v>0.031</v>
      </c>
      <c r="T806" t="s">
        <v>25</v>
      </c>
    </row>
    <row r="807" spans="1:20" ht="15">
      <c r="A807" t="s">
        <v>19</v>
      </c>
      <c r="B807" t="s">
        <v>20</v>
      </c>
      <c r="C807" t="str">
        <f t="shared" si="12"/>
        <v>31-Dec-21</v>
      </c>
      <c r="D807" t="s">
        <v>21</v>
      </c>
      <c r="E807" t="s">
        <v>22</v>
      </c>
      <c r="F807" t="str">
        <f>"B28T1S7"</f>
        <v>B28T1S7</v>
      </c>
      <c r="G807" t="s">
        <v>840</v>
      </c>
      <c r="I807" t="s">
        <v>823</v>
      </c>
      <c r="J807">
        <v>6.1698E-05</v>
      </c>
      <c r="K807">
        <v>87741</v>
      </c>
      <c r="L807">
        <v>457844752.94</v>
      </c>
      <c r="M807">
        <v>29547.13</v>
      </c>
      <c r="N807">
        <v>3890</v>
      </c>
      <c r="O807">
        <v>341312490</v>
      </c>
      <c r="P807">
        <v>21058.35</v>
      </c>
      <c r="Q807">
        <v>0</v>
      </c>
      <c r="R807">
        <v>0</v>
      </c>
      <c r="S807">
        <v>0.01</v>
      </c>
      <c r="T807" t="s">
        <v>25</v>
      </c>
    </row>
    <row r="808" spans="1:20" ht="15">
      <c r="A808" t="s">
        <v>19</v>
      </c>
      <c r="B808" t="s">
        <v>20</v>
      </c>
      <c r="C808" t="str">
        <f t="shared" si="12"/>
        <v>31-Dec-21</v>
      </c>
      <c r="D808" t="s">
        <v>21</v>
      </c>
      <c r="E808" t="s">
        <v>22</v>
      </c>
      <c r="F808" t="str">
        <f>"B7311V6"</f>
        <v>B7311V6</v>
      </c>
      <c r="G808" t="s">
        <v>841</v>
      </c>
      <c r="I808" t="s">
        <v>823</v>
      </c>
      <c r="J808">
        <v>6.1698E-05</v>
      </c>
      <c r="K808">
        <v>747100</v>
      </c>
      <c r="L808">
        <v>1098506534.24</v>
      </c>
      <c r="M808">
        <v>68908.55</v>
      </c>
      <c r="N808">
        <v>1615</v>
      </c>
      <c r="O808">
        <v>1206566500</v>
      </c>
      <c r="P808">
        <v>74442.91</v>
      </c>
      <c r="Q808">
        <v>0</v>
      </c>
      <c r="R808">
        <v>0</v>
      </c>
      <c r="S808">
        <v>0.037</v>
      </c>
      <c r="T808" t="s">
        <v>25</v>
      </c>
    </row>
    <row r="809" spans="1:20" ht="15">
      <c r="A809" t="s">
        <v>19</v>
      </c>
      <c r="B809" t="s">
        <v>20</v>
      </c>
      <c r="C809" t="str">
        <f t="shared" si="12"/>
        <v>31-Dec-21</v>
      </c>
      <c r="D809" t="s">
        <v>21</v>
      </c>
      <c r="E809" t="s">
        <v>22</v>
      </c>
      <c r="F809" t="str">
        <f>"6543877"</f>
        <v>6543877</v>
      </c>
      <c r="G809" t="s">
        <v>842</v>
      </c>
      <c r="I809" t="s">
        <v>823</v>
      </c>
      <c r="J809">
        <v>6.1698E-05</v>
      </c>
      <c r="K809">
        <v>126100</v>
      </c>
      <c r="L809">
        <v>343308042.05</v>
      </c>
      <c r="M809">
        <v>20011.39</v>
      </c>
      <c r="N809">
        <v>2040</v>
      </c>
      <c r="O809">
        <v>257244000</v>
      </c>
      <c r="P809">
        <v>15871.48</v>
      </c>
      <c r="Q809">
        <v>0</v>
      </c>
      <c r="R809">
        <v>0</v>
      </c>
      <c r="S809">
        <v>0.008</v>
      </c>
      <c r="T809" t="s">
        <v>25</v>
      </c>
    </row>
    <row r="810" spans="1:20" ht="15">
      <c r="A810" t="s">
        <v>19</v>
      </c>
      <c r="B810" t="s">
        <v>20</v>
      </c>
      <c r="C810" t="str">
        <f t="shared" si="12"/>
        <v>31-Dec-21</v>
      </c>
      <c r="D810" t="s">
        <v>21</v>
      </c>
      <c r="E810" t="s">
        <v>22</v>
      </c>
      <c r="F810" t="str">
        <f>"B1Z5HY9"</f>
        <v>B1Z5HY9</v>
      </c>
      <c r="G810" t="s">
        <v>843</v>
      </c>
      <c r="I810" t="s">
        <v>823</v>
      </c>
      <c r="J810">
        <v>6.1698E-05</v>
      </c>
      <c r="K810">
        <v>175000</v>
      </c>
      <c r="L810">
        <v>416165311.95</v>
      </c>
      <c r="M810">
        <v>26752.85</v>
      </c>
      <c r="N810">
        <v>900</v>
      </c>
      <c r="O810">
        <v>157500000</v>
      </c>
      <c r="P810">
        <v>9717.46</v>
      </c>
      <c r="Q810">
        <v>0</v>
      </c>
      <c r="R810">
        <v>0</v>
      </c>
      <c r="S810">
        <v>0.005</v>
      </c>
      <c r="T810" t="s">
        <v>25</v>
      </c>
    </row>
    <row r="811" spans="1:20" ht="15">
      <c r="A811" t="s">
        <v>19</v>
      </c>
      <c r="B811" t="s">
        <v>20</v>
      </c>
      <c r="C811" t="str">
        <f t="shared" si="12"/>
        <v>31-Dec-21</v>
      </c>
      <c r="D811" t="s">
        <v>21</v>
      </c>
      <c r="E811" t="s">
        <v>22</v>
      </c>
      <c r="F811" t="str">
        <f>"6719764"</f>
        <v>6719764</v>
      </c>
      <c r="G811" t="s">
        <v>844</v>
      </c>
      <c r="I811" t="s">
        <v>823</v>
      </c>
      <c r="J811">
        <v>6.1698E-05</v>
      </c>
      <c r="K811">
        <v>417400</v>
      </c>
      <c r="L811">
        <v>1778326759.06</v>
      </c>
      <c r="M811">
        <v>113894.56</v>
      </c>
      <c r="N811">
        <v>1375</v>
      </c>
      <c r="O811">
        <v>573925000</v>
      </c>
      <c r="P811">
        <v>35410.11</v>
      </c>
      <c r="Q811">
        <v>0</v>
      </c>
      <c r="R811">
        <v>0</v>
      </c>
      <c r="S811">
        <v>0.018</v>
      </c>
      <c r="T811" t="s">
        <v>25</v>
      </c>
    </row>
    <row r="812" spans="1:20" ht="15">
      <c r="A812" t="s">
        <v>19</v>
      </c>
      <c r="B812" t="s">
        <v>20</v>
      </c>
      <c r="C812" t="str">
        <f t="shared" si="12"/>
        <v>31-Dec-21</v>
      </c>
      <c r="D812" t="s">
        <v>21</v>
      </c>
      <c r="E812" t="s">
        <v>22</v>
      </c>
      <c r="F812" t="str">
        <f>"BCDBLX3"</f>
        <v>BCDBLX3</v>
      </c>
      <c r="G812" t="s">
        <v>845</v>
      </c>
      <c r="I812" t="s">
        <v>823</v>
      </c>
      <c r="J812">
        <v>6.1698E-05</v>
      </c>
      <c r="K812">
        <v>753500</v>
      </c>
      <c r="L812">
        <v>768951248.92</v>
      </c>
      <c r="M812">
        <v>44303.96</v>
      </c>
      <c r="N812">
        <v>1125</v>
      </c>
      <c r="O812">
        <v>847687500</v>
      </c>
      <c r="P812">
        <v>52300.75</v>
      </c>
      <c r="Q812">
        <v>0</v>
      </c>
      <c r="R812">
        <v>0</v>
      </c>
      <c r="S812">
        <v>0.026</v>
      </c>
      <c r="T812" t="s">
        <v>25</v>
      </c>
    </row>
    <row r="813" spans="1:20" ht="15">
      <c r="A813" t="s">
        <v>19</v>
      </c>
      <c r="B813" t="s">
        <v>20</v>
      </c>
      <c r="C813" t="str">
        <f t="shared" si="12"/>
        <v>31-Dec-21</v>
      </c>
      <c r="D813" t="s">
        <v>21</v>
      </c>
      <c r="E813" t="s">
        <v>22</v>
      </c>
      <c r="F813" t="str">
        <f>"6795236"</f>
        <v>6795236</v>
      </c>
      <c r="G813" t="s">
        <v>846</v>
      </c>
      <c r="I813" t="s">
        <v>823</v>
      </c>
      <c r="J813">
        <v>6.1698E-05</v>
      </c>
      <c r="K813">
        <v>74300</v>
      </c>
      <c r="L813">
        <v>925329082.37</v>
      </c>
      <c r="M813">
        <v>58542.34</v>
      </c>
      <c r="N813">
        <v>7250</v>
      </c>
      <c r="O813">
        <v>538675000</v>
      </c>
      <c r="P813">
        <v>33235.25</v>
      </c>
      <c r="Q813">
        <v>0</v>
      </c>
      <c r="R813">
        <v>0</v>
      </c>
      <c r="S813">
        <v>0.016</v>
      </c>
      <c r="T813" t="s">
        <v>25</v>
      </c>
    </row>
    <row r="814" spans="1:20" ht="15">
      <c r="A814" t="s">
        <v>19</v>
      </c>
      <c r="B814" t="s">
        <v>20</v>
      </c>
      <c r="C814" t="str">
        <f t="shared" si="12"/>
        <v>31-Dec-21</v>
      </c>
      <c r="D814" t="s">
        <v>21</v>
      </c>
      <c r="E814" t="s">
        <v>22</v>
      </c>
      <c r="F814" t="str">
        <f>"B7LLC71"</f>
        <v>B7LLC71</v>
      </c>
      <c r="G814" t="s">
        <v>847</v>
      </c>
      <c r="I814" t="s">
        <v>823</v>
      </c>
      <c r="J814">
        <v>6.1698E-05</v>
      </c>
      <c r="K814">
        <v>2254000</v>
      </c>
      <c r="L814">
        <v>180645375.55</v>
      </c>
      <c r="M814">
        <v>10762.81</v>
      </c>
      <c r="N814">
        <v>87</v>
      </c>
      <c r="O814">
        <v>196098000</v>
      </c>
      <c r="P814">
        <v>12098.88</v>
      </c>
      <c r="Q814">
        <v>0</v>
      </c>
      <c r="R814">
        <v>0</v>
      </c>
      <c r="S814">
        <v>0.006</v>
      </c>
      <c r="T814" t="s">
        <v>25</v>
      </c>
    </row>
    <row r="815" spans="1:20" ht="15">
      <c r="A815" t="s">
        <v>19</v>
      </c>
      <c r="B815" t="s">
        <v>20</v>
      </c>
      <c r="C815" t="str">
        <f t="shared" si="12"/>
        <v>31-Dec-21</v>
      </c>
      <c r="D815" t="s">
        <v>21</v>
      </c>
      <c r="E815" t="s">
        <v>22</v>
      </c>
      <c r="F815" t="str">
        <f>"B8HWJY1"</f>
        <v>B8HWJY1</v>
      </c>
      <c r="G815" t="s">
        <v>848</v>
      </c>
      <c r="I815" t="s">
        <v>823</v>
      </c>
      <c r="J815">
        <v>6.1698E-05</v>
      </c>
      <c r="K815">
        <v>1102500</v>
      </c>
      <c r="L815">
        <v>567884412.77</v>
      </c>
      <c r="M815">
        <v>37706.55</v>
      </c>
      <c r="N815">
        <v>326</v>
      </c>
      <c r="O815">
        <v>359415000</v>
      </c>
      <c r="P815">
        <v>22175.24</v>
      </c>
      <c r="Q815">
        <v>0</v>
      </c>
      <c r="R815">
        <v>0</v>
      </c>
      <c r="S815">
        <v>0.011</v>
      </c>
      <c r="T815" t="s">
        <v>25</v>
      </c>
    </row>
    <row r="816" spans="1:20" ht="15">
      <c r="A816" t="s">
        <v>19</v>
      </c>
      <c r="B816" t="s">
        <v>20</v>
      </c>
      <c r="C816" t="str">
        <f t="shared" si="12"/>
        <v>31-Dec-21</v>
      </c>
      <c r="D816" t="s">
        <v>21</v>
      </c>
      <c r="E816" t="s">
        <v>22</v>
      </c>
      <c r="F816" t="str">
        <f>"BD4T6W7"</f>
        <v>BD4T6W7</v>
      </c>
      <c r="G816" t="s">
        <v>849</v>
      </c>
      <c r="I816" t="s">
        <v>823</v>
      </c>
      <c r="J816">
        <v>6.1698E-05</v>
      </c>
      <c r="K816">
        <v>1512200</v>
      </c>
      <c r="L816">
        <v>4769582405.16</v>
      </c>
      <c r="M816">
        <v>301758.72</v>
      </c>
      <c r="N816">
        <v>4040</v>
      </c>
      <c r="O816">
        <v>6109288000</v>
      </c>
      <c r="P816">
        <v>376931.73</v>
      </c>
      <c r="Q816">
        <v>0</v>
      </c>
      <c r="R816">
        <v>0</v>
      </c>
      <c r="S816">
        <v>0.187</v>
      </c>
      <c r="T816" t="s">
        <v>25</v>
      </c>
    </row>
    <row r="817" spans="1:20" ht="15">
      <c r="A817" t="s">
        <v>19</v>
      </c>
      <c r="B817" t="s">
        <v>20</v>
      </c>
      <c r="C817" t="str">
        <f t="shared" si="12"/>
        <v>31-Dec-21</v>
      </c>
      <c r="D817" t="s">
        <v>21</v>
      </c>
      <c r="E817" t="s">
        <v>22</v>
      </c>
      <c r="F817" t="str">
        <f>"B4MW045"</f>
        <v>B4MW045</v>
      </c>
      <c r="G817" t="s">
        <v>850</v>
      </c>
      <c r="I817" t="s">
        <v>823</v>
      </c>
      <c r="J817">
        <v>6.1698E-05</v>
      </c>
      <c r="K817">
        <v>245100</v>
      </c>
      <c r="L817">
        <v>391738331.65</v>
      </c>
      <c r="M817">
        <v>25276.49</v>
      </c>
      <c r="N817">
        <v>2950</v>
      </c>
      <c r="O817">
        <v>723045000</v>
      </c>
      <c r="P817">
        <v>44610.53</v>
      </c>
      <c r="Q817">
        <v>0</v>
      </c>
      <c r="R817">
        <v>0</v>
      </c>
      <c r="S817">
        <v>0.022</v>
      </c>
      <c r="T817" t="s">
        <v>25</v>
      </c>
    </row>
    <row r="818" spans="1:20" ht="15">
      <c r="A818" t="s">
        <v>19</v>
      </c>
      <c r="B818" t="s">
        <v>20</v>
      </c>
      <c r="C818" t="str">
        <f t="shared" si="12"/>
        <v>31-Dec-21</v>
      </c>
      <c r="D818" t="s">
        <v>21</v>
      </c>
      <c r="E818" t="s">
        <v>22</v>
      </c>
      <c r="F818" t="str">
        <f>"6687184"</f>
        <v>6687184</v>
      </c>
      <c r="G818" t="s">
        <v>851</v>
      </c>
      <c r="I818" t="s">
        <v>823</v>
      </c>
      <c r="J818">
        <v>6.1698E-05</v>
      </c>
      <c r="K818">
        <v>185700</v>
      </c>
      <c r="L818">
        <v>1298359871.24</v>
      </c>
      <c r="M818">
        <v>84294.13</v>
      </c>
      <c r="N818">
        <v>4110</v>
      </c>
      <c r="O818">
        <v>763227000</v>
      </c>
      <c r="P818">
        <v>47089.69</v>
      </c>
      <c r="Q818">
        <v>0</v>
      </c>
      <c r="R818">
        <v>0</v>
      </c>
      <c r="S818">
        <v>0.023</v>
      </c>
      <c r="T818" t="s">
        <v>25</v>
      </c>
    </row>
    <row r="819" spans="1:20" ht="15">
      <c r="A819" t="s">
        <v>19</v>
      </c>
      <c r="B819" t="s">
        <v>20</v>
      </c>
      <c r="C819" t="str">
        <f t="shared" si="12"/>
        <v>31-Dec-21</v>
      </c>
      <c r="D819" t="s">
        <v>21</v>
      </c>
      <c r="E819" t="s">
        <v>22</v>
      </c>
      <c r="F819" t="str">
        <f>"6230845"</f>
        <v>6230845</v>
      </c>
      <c r="G819" t="s">
        <v>852</v>
      </c>
      <c r="I819" t="s">
        <v>823</v>
      </c>
      <c r="J819">
        <v>6.1698E-05</v>
      </c>
      <c r="K819">
        <v>56200</v>
      </c>
      <c r="L819">
        <v>1194791624.22</v>
      </c>
      <c r="M819">
        <v>76542.67</v>
      </c>
      <c r="N819">
        <v>22150</v>
      </c>
      <c r="O819">
        <v>1244830000</v>
      </c>
      <c r="P819">
        <v>76803.7</v>
      </c>
      <c r="Q819">
        <v>0</v>
      </c>
      <c r="R819">
        <v>0</v>
      </c>
      <c r="S819">
        <v>0.038</v>
      </c>
      <c r="T819" t="s">
        <v>25</v>
      </c>
    </row>
    <row r="820" spans="1:20" ht="15">
      <c r="A820" t="s">
        <v>19</v>
      </c>
      <c r="B820" t="s">
        <v>20</v>
      </c>
      <c r="C820" t="str">
        <f t="shared" si="12"/>
        <v>31-Dec-21</v>
      </c>
      <c r="D820" t="s">
        <v>21</v>
      </c>
      <c r="E820" t="s">
        <v>22</v>
      </c>
      <c r="F820" t="str">
        <f>"B0217K9"</f>
        <v>B0217K9</v>
      </c>
      <c r="G820" t="s">
        <v>853</v>
      </c>
      <c r="I820" t="s">
        <v>823</v>
      </c>
      <c r="J820">
        <v>6.1698E-05</v>
      </c>
      <c r="K820">
        <v>87000</v>
      </c>
      <c r="L820">
        <v>209067264</v>
      </c>
      <c r="M820">
        <v>12836.02</v>
      </c>
      <c r="N820">
        <v>4680</v>
      </c>
      <c r="O820">
        <v>407160000</v>
      </c>
      <c r="P820">
        <v>25121.02</v>
      </c>
      <c r="Q820">
        <v>0</v>
      </c>
      <c r="R820">
        <v>0</v>
      </c>
      <c r="S820">
        <v>0.012</v>
      </c>
      <c r="T820" t="s">
        <v>25</v>
      </c>
    </row>
    <row r="821" spans="1:20" ht="15">
      <c r="A821" t="s">
        <v>19</v>
      </c>
      <c r="B821" t="s">
        <v>20</v>
      </c>
      <c r="C821" t="str">
        <f t="shared" si="12"/>
        <v>31-Dec-21</v>
      </c>
      <c r="D821" t="s">
        <v>21</v>
      </c>
      <c r="E821" t="s">
        <v>22</v>
      </c>
      <c r="F821" t="str">
        <f>"B0LD0W9"</f>
        <v>B0LD0W9</v>
      </c>
      <c r="G821" t="s">
        <v>854</v>
      </c>
      <c r="I821" t="s">
        <v>823</v>
      </c>
      <c r="J821">
        <v>6.1698E-05</v>
      </c>
      <c r="K821">
        <v>156050</v>
      </c>
      <c r="L821">
        <v>532858937.47</v>
      </c>
      <c r="M821">
        <v>34311.81</v>
      </c>
      <c r="N821">
        <v>3170</v>
      </c>
      <c r="O821">
        <v>494678500</v>
      </c>
      <c r="P821">
        <v>30520.75</v>
      </c>
      <c r="Q821">
        <v>0</v>
      </c>
      <c r="R821">
        <v>0</v>
      </c>
      <c r="S821">
        <v>0.015</v>
      </c>
      <c r="T821" t="s">
        <v>25</v>
      </c>
    </row>
    <row r="822" spans="1:20" ht="15">
      <c r="A822" t="s">
        <v>19</v>
      </c>
      <c r="B822" t="s">
        <v>20</v>
      </c>
      <c r="C822" t="str">
        <f t="shared" si="12"/>
        <v>31-Dec-21</v>
      </c>
      <c r="D822" t="s">
        <v>21</v>
      </c>
      <c r="E822" t="s">
        <v>39</v>
      </c>
      <c r="I822" t="s">
        <v>823</v>
      </c>
      <c r="J822">
        <v>6.1698E-05</v>
      </c>
      <c r="K822">
        <v>0</v>
      </c>
      <c r="L822">
        <v>195093563.18</v>
      </c>
      <c r="M822">
        <v>12082.43</v>
      </c>
      <c r="N822">
        <v>0</v>
      </c>
      <c r="O822">
        <v>195093563.18</v>
      </c>
      <c r="P822">
        <v>12036.91</v>
      </c>
      <c r="Q822">
        <v>0</v>
      </c>
      <c r="R822">
        <v>0</v>
      </c>
      <c r="S822">
        <v>0.006</v>
      </c>
      <c r="T822" t="s">
        <v>557</v>
      </c>
    </row>
    <row r="823" spans="1:20" ht="15">
      <c r="A823" t="s">
        <v>19</v>
      </c>
      <c r="B823" t="s">
        <v>20</v>
      </c>
      <c r="C823" t="str">
        <f t="shared" si="12"/>
        <v>31-Dec-21</v>
      </c>
      <c r="D823" t="s">
        <v>21</v>
      </c>
      <c r="E823" t="s">
        <v>22</v>
      </c>
      <c r="F823" t="str">
        <f>"6098496"</f>
        <v>6098496</v>
      </c>
      <c r="G823" t="s">
        <v>855</v>
      </c>
      <c r="I823" t="s">
        <v>856</v>
      </c>
      <c r="J823">
        <v>0.01182949</v>
      </c>
      <c r="K823">
        <v>37</v>
      </c>
      <c r="L823">
        <v>858219.88</v>
      </c>
      <c r="M823">
        <v>10917.64</v>
      </c>
      <c r="N823">
        <v>25360.8</v>
      </c>
      <c r="O823">
        <v>938349.6</v>
      </c>
      <c r="P823">
        <v>11100.2</v>
      </c>
      <c r="Q823">
        <v>0</v>
      </c>
      <c r="R823">
        <v>0</v>
      </c>
      <c r="S823">
        <v>0.006</v>
      </c>
      <c r="T823" t="s">
        <v>25</v>
      </c>
    </row>
    <row r="824" spans="1:20" ht="15">
      <c r="A824" t="s">
        <v>19</v>
      </c>
      <c r="B824" t="s">
        <v>20</v>
      </c>
      <c r="C824" t="str">
        <f t="shared" si="12"/>
        <v>31-Dec-21</v>
      </c>
      <c r="D824" t="s">
        <v>21</v>
      </c>
      <c r="E824" t="s">
        <v>22</v>
      </c>
      <c r="F824" t="str">
        <f>"B1Y9QS9"</f>
        <v>B1Y9QS9</v>
      </c>
      <c r="G824" t="s">
        <v>857</v>
      </c>
      <c r="I824" t="s">
        <v>856</v>
      </c>
      <c r="J824">
        <v>0.01182949</v>
      </c>
      <c r="K824">
        <v>2061</v>
      </c>
      <c r="L824">
        <v>2311576.19</v>
      </c>
      <c r="M824">
        <v>30391.46</v>
      </c>
      <c r="N824">
        <v>2233.6</v>
      </c>
      <c r="O824">
        <v>4603449.6</v>
      </c>
      <c r="P824">
        <v>54456.46</v>
      </c>
      <c r="Q824">
        <v>0</v>
      </c>
      <c r="R824">
        <v>0</v>
      </c>
      <c r="S824">
        <v>0.027</v>
      </c>
      <c r="T824" t="s">
        <v>25</v>
      </c>
    </row>
    <row r="825" spans="1:20" ht="15">
      <c r="A825" t="s">
        <v>19</v>
      </c>
      <c r="B825" t="s">
        <v>20</v>
      </c>
      <c r="C825" t="str">
        <f t="shared" si="12"/>
        <v>31-Dec-21</v>
      </c>
      <c r="D825" t="s">
        <v>21</v>
      </c>
      <c r="E825" t="s">
        <v>22</v>
      </c>
      <c r="F825" t="str">
        <f>"6155915"</f>
        <v>6155915</v>
      </c>
      <c r="G825" t="s">
        <v>858</v>
      </c>
      <c r="I825" t="s">
        <v>856</v>
      </c>
      <c r="J825">
        <v>0.01182949</v>
      </c>
      <c r="K825">
        <v>2729</v>
      </c>
      <c r="L825">
        <v>4089370.6</v>
      </c>
      <c r="M825">
        <v>52390.46</v>
      </c>
      <c r="N825">
        <v>2215.75</v>
      </c>
      <c r="O825">
        <v>6046781.75</v>
      </c>
      <c r="P825">
        <v>71530.34</v>
      </c>
      <c r="Q825">
        <v>0</v>
      </c>
      <c r="R825">
        <v>0</v>
      </c>
      <c r="S825">
        <v>0.035</v>
      </c>
      <c r="T825" t="s">
        <v>25</v>
      </c>
    </row>
    <row r="826" spans="1:20" ht="15">
      <c r="A826" t="s">
        <v>19</v>
      </c>
      <c r="B826" t="s">
        <v>20</v>
      </c>
      <c r="C826" t="str">
        <f t="shared" si="12"/>
        <v>31-Dec-21</v>
      </c>
      <c r="D826" t="s">
        <v>21</v>
      </c>
      <c r="E826" t="s">
        <v>22</v>
      </c>
      <c r="F826" t="str">
        <f>"BF1YBK2"</f>
        <v>BF1YBK2</v>
      </c>
      <c r="G826" t="s">
        <v>859</v>
      </c>
      <c r="I826" t="s">
        <v>856</v>
      </c>
      <c r="J826">
        <v>0.01182949</v>
      </c>
      <c r="K826">
        <v>5301</v>
      </c>
      <c r="L826">
        <v>3545333.62</v>
      </c>
      <c r="M826">
        <v>44488.14</v>
      </c>
      <c r="N826">
        <v>1036.5</v>
      </c>
      <c r="O826">
        <v>5494486.5</v>
      </c>
      <c r="P826">
        <v>64996.97</v>
      </c>
      <c r="Q826">
        <v>0</v>
      </c>
      <c r="R826">
        <v>0</v>
      </c>
      <c r="S826">
        <v>0.032</v>
      </c>
      <c r="T826" t="s">
        <v>25</v>
      </c>
    </row>
    <row r="827" spans="1:20" ht="15">
      <c r="A827" t="s">
        <v>19</v>
      </c>
      <c r="B827" t="s">
        <v>20</v>
      </c>
      <c r="C827" t="str">
        <f t="shared" si="12"/>
        <v>31-Dec-21</v>
      </c>
      <c r="D827" t="s">
        <v>21</v>
      </c>
      <c r="E827" t="s">
        <v>22</v>
      </c>
      <c r="F827" t="str">
        <f>"B0VX289"</f>
        <v>B0VX289</v>
      </c>
      <c r="G827" t="s">
        <v>860</v>
      </c>
      <c r="I827" t="s">
        <v>856</v>
      </c>
      <c r="J827">
        <v>0.01182949</v>
      </c>
      <c r="K827">
        <v>2637</v>
      </c>
      <c r="L827">
        <v>2572380.76</v>
      </c>
      <c r="M827">
        <v>30529.17</v>
      </c>
      <c r="N827">
        <v>1004.6</v>
      </c>
      <c r="O827">
        <v>2649130.2</v>
      </c>
      <c r="P827">
        <v>31337.86</v>
      </c>
      <c r="Q827">
        <v>0</v>
      </c>
      <c r="R827">
        <v>0</v>
      </c>
      <c r="S827">
        <v>0.016</v>
      </c>
      <c r="T827" t="s">
        <v>25</v>
      </c>
    </row>
    <row r="828" spans="1:20" ht="15">
      <c r="A828" t="s">
        <v>19</v>
      </c>
      <c r="B828" t="s">
        <v>20</v>
      </c>
      <c r="C828" t="str">
        <f t="shared" si="12"/>
        <v>31-Dec-21</v>
      </c>
      <c r="D828" t="s">
        <v>21</v>
      </c>
      <c r="E828" t="s">
        <v>22</v>
      </c>
      <c r="F828" t="str">
        <f>"B01VRK0"</f>
        <v>B01VRK0</v>
      </c>
      <c r="G828" t="s">
        <v>861</v>
      </c>
      <c r="I828" t="s">
        <v>856</v>
      </c>
      <c r="J828">
        <v>0.01182949</v>
      </c>
      <c r="K828">
        <v>9146</v>
      </c>
      <c r="L828">
        <v>751771.95</v>
      </c>
      <c r="M828">
        <v>9891.49</v>
      </c>
      <c r="N828">
        <v>1709.45</v>
      </c>
      <c r="O828">
        <v>15634629.7</v>
      </c>
      <c r="P828">
        <v>184949.69</v>
      </c>
      <c r="Q828">
        <v>0</v>
      </c>
      <c r="R828">
        <v>0</v>
      </c>
      <c r="S828">
        <v>0.092</v>
      </c>
      <c r="T828" t="s">
        <v>25</v>
      </c>
    </row>
    <row r="829" spans="1:20" ht="15">
      <c r="A829" t="s">
        <v>19</v>
      </c>
      <c r="B829" t="s">
        <v>20</v>
      </c>
      <c r="C829" t="str">
        <f t="shared" si="12"/>
        <v>31-Dec-21</v>
      </c>
      <c r="D829" t="s">
        <v>21</v>
      </c>
      <c r="E829" t="s">
        <v>22</v>
      </c>
      <c r="F829" t="str">
        <f>"BD6H7M6"</f>
        <v>BD6H7M6</v>
      </c>
      <c r="G829" t="s">
        <v>862</v>
      </c>
      <c r="I829" t="s">
        <v>856</v>
      </c>
      <c r="J829">
        <v>0.01182949</v>
      </c>
      <c r="K829">
        <v>13140</v>
      </c>
      <c r="L829">
        <v>8923832.27</v>
      </c>
      <c r="M829">
        <v>102419.68</v>
      </c>
      <c r="N829">
        <v>1330.25</v>
      </c>
      <c r="O829">
        <v>17479485</v>
      </c>
      <c r="P829">
        <v>206773.39</v>
      </c>
      <c r="Q829">
        <v>0</v>
      </c>
      <c r="R829">
        <v>0</v>
      </c>
      <c r="S829">
        <v>0.103</v>
      </c>
      <c r="T829" t="s">
        <v>25</v>
      </c>
    </row>
    <row r="830" spans="1:20" ht="15">
      <c r="A830" t="s">
        <v>19</v>
      </c>
      <c r="B830" t="s">
        <v>20</v>
      </c>
      <c r="C830" t="str">
        <f t="shared" si="12"/>
        <v>31-Dec-21</v>
      </c>
      <c r="D830" t="s">
        <v>21</v>
      </c>
      <c r="E830" t="s">
        <v>22</v>
      </c>
      <c r="F830" t="str">
        <f>"B28XXH2"</f>
        <v>B28XXH2</v>
      </c>
      <c r="G830" t="s">
        <v>863</v>
      </c>
      <c r="I830" t="s">
        <v>856</v>
      </c>
      <c r="J830">
        <v>0.01182949</v>
      </c>
      <c r="K830">
        <v>25682</v>
      </c>
      <c r="L830">
        <v>8290414.91</v>
      </c>
      <c r="M830">
        <v>111409.53</v>
      </c>
      <c r="N830">
        <v>730.3</v>
      </c>
      <c r="O830">
        <v>18755564.6</v>
      </c>
      <c r="P830">
        <v>221868.76</v>
      </c>
      <c r="Q830">
        <v>0</v>
      </c>
      <c r="R830">
        <v>0</v>
      </c>
      <c r="S830">
        <v>0.11</v>
      </c>
      <c r="T830" t="s">
        <v>25</v>
      </c>
    </row>
    <row r="831" spans="1:20" ht="15">
      <c r="A831" t="s">
        <v>19</v>
      </c>
      <c r="B831" t="s">
        <v>20</v>
      </c>
      <c r="C831" t="str">
        <f t="shared" si="12"/>
        <v>31-Dec-21</v>
      </c>
      <c r="D831" t="s">
        <v>21</v>
      </c>
      <c r="E831" t="s">
        <v>22</v>
      </c>
      <c r="F831" t="str">
        <f>"B3WQH49"</f>
        <v>B3WQH49</v>
      </c>
      <c r="G831" t="s">
        <v>864</v>
      </c>
      <c r="I831" t="s">
        <v>856</v>
      </c>
      <c r="J831">
        <v>0.01182949</v>
      </c>
      <c r="K831">
        <v>29163</v>
      </c>
      <c r="L831">
        <v>1459445.85</v>
      </c>
      <c r="M831">
        <v>18344.49</v>
      </c>
      <c r="N831">
        <v>99.7</v>
      </c>
      <c r="O831">
        <v>2907551.1</v>
      </c>
      <c r="P831">
        <v>34394.85</v>
      </c>
      <c r="Q831">
        <v>0</v>
      </c>
      <c r="R831">
        <v>0</v>
      </c>
      <c r="S831">
        <v>0.017</v>
      </c>
      <c r="T831" t="s">
        <v>25</v>
      </c>
    </row>
    <row r="832" spans="1:20" ht="15">
      <c r="A832" t="s">
        <v>19</v>
      </c>
      <c r="B832" t="s">
        <v>20</v>
      </c>
      <c r="C832" t="str">
        <f t="shared" si="12"/>
        <v>31-Dec-21</v>
      </c>
      <c r="D832" t="s">
        <v>21</v>
      </c>
      <c r="E832" t="s">
        <v>22</v>
      </c>
      <c r="F832" t="str">
        <f>"BGJW2K2"</f>
        <v>BGJW2K2</v>
      </c>
      <c r="G832" t="s">
        <v>865</v>
      </c>
      <c r="I832" t="s">
        <v>856</v>
      </c>
      <c r="J832">
        <v>0.01182949</v>
      </c>
      <c r="K832">
        <v>9402</v>
      </c>
      <c r="L832">
        <v>6970624.52</v>
      </c>
      <c r="M832">
        <v>80705.92</v>
      </c>
      <c r="N832">
        <v>1721.8</v>
      </c>
      <c r="O832">
        <v>16188363.6</v>
      </c>
      <c r="P832">
        <v>191500.08</v>
      </c>
      <c r="Q832">
        <v>0</v>
      </c>
      <c r="R832">
        <v>0</v>
      </c>
      <c r="S832">
        <v>0.095</v>
      </c>
      <c r="T832" t="s">
        <v>25</v>
      </c>
    </row>
    <row r="833" spans="1:20" ht="15">
      <c r="A833" t="s">
        <v>19</v>
      </c>
      <c r="B833" t="s">
        <v>20</v>
      </c>
      <c r="C833" t="str">
        <f t="shared" si="12"/>
        <v>31-Dec-21</v>
      </c>
      <c r="D833" t="s">
        <v>21</v>
      </c>
      <c r="E833" t="s">
        <v>22</v>
      </c>
      <c r="F833" t="str">
        <f>"BYPCLL6"</f>
        <v>BYPCLL6</v>
      </c>
      <c r="G833" t="s">
        <v>866</v>
      </c>
      <c r="I833" t="s">
        <v>856</v>
      </c>
      <c r="J833">
        <v>0.01182949</v>
      </c>
      <c r="K833">
        <v>8515</v>
      </c>
      <c r="L833">
        <v>15523519.11</v>
      </c>
      <c r="M833">
        <v>179981.13</v>
      </c>
      <c r="N833">
        <v>1740.85</v>
      </c>
      <c r="O833">
        <v>14823337.75</v>
      </c>
      <c r="P833">
        <v>175352.52</v>
      </c>
      <c r="Q833">
        <v>0</v>
      </c>
      <c r="R833">
        <v>0</v>
      </c>
      <c r="S833">
        <v>0.087</v>
      </c>
      <c r="T833" t="s">
        <v>25</v>
      </c>
    </row>
    <row r="834" spans="1:20" ht="15">
      <c r="A834" t="s">
        <v>19</v>
      </c>
      <c r="B834" t="s">
        <v>20</v>
      </c>
      <c r="C834" t="str">
        <f aca="true" t="shared" si="13" ref="C834:C897">"31-Dec-21"</f>
        <v>31-Dec-21</v>
      </c>
      <c r="D834" t="s">
        <v>21</v>
      </c>
      <c r="E834" t="s">
        <v>22</v>
      </c>
      <c r="F834" t="str">
        <f>"BYVKT10"</f>
        <v>BYVKT10</v>
      </c>
      <c r="G834" t="s">
        <v>867</v>
      </c>
      <c r="I834" t="s">
        <v>856</v>
      </c>
      <c r="J834">
        <v>0.01182949</v>
      </c>
      <c r="K834">
        <v>18192</v>
      </c>
      <c r="L834">
        <v>1804672.86</v>
      </c>
      <c r="M834">
        <v>23237.99</v>
      </c>
      <c r="N834">
        <v>123.9</v>
      </c>
      <c r="O834">
        <v>2253988.8</v>
      </c>
      <c r="P834">
        <v>26663.54</v>
      </c>
      <c r="Q834">
        <v>0</v>
      </c>
      <c r="R834">
        <v>0</v>
      </c>
      <c r="S834">
        <v>0.013</v>
      </c>
      <c r="T834" t="s">
        <v>25</v>
      </c>
    </row>
    <row r="835" spans="1:20" ht="15">
      <c r="A835" t="s">
        <v>19</v>
      </c>
      <c r="B835" t="s">
        <v>20</v>
      </c>
      <c r="C835" t="str">
        <f t="shared" si="13"/>
        <v>31-Dec-21</v>
      </c>
      <c r="D835" t="s">
        <v>21</v>
      </c>
      <c r="E835" t="s">
        <v>22</v>
      </c>
      <c r="F835" t="str">
        <f>"BYY2WB4"</f>
        <v>BYY2WB4</v>
      </c>
      <c r="G835" t="s">
        <v>868</v>
      </c>
      <c r="I835" t="s">
        <v>856</v>
      </c>
      <c r="J835">
        <v>0.01182949</v>
      </c>
      <c r="K835">
        <v>680</v>
      </c>
      <c r="L835">
        <v>1199071.85</v>
      </c>
      <c r="M835">
        <v>15309.6</v>
      </c>
      <c r="N835">
        <v>3624.05</v>
      </c>
      <c r="O835">
        <v>2464354</v>
      </c>
      <c r="P835">
        <v>29152.05</v>
      </c>
      <c r="Q835">
        <v>0</v>
      </c>
      <c r="R835">
        <v>0</v>
      </c>
      <c r="S835">
        <v>0.014</v>
      </c>
      <c r="T835" t="s">
        <v>25</v>
      </c>
    </row>
    <row r="836" spans="1:20" ht="15">
      <c r="A836" t="s">
        <v>19</v>
      </c>
      <c r="B836" t="s">
        <v>20</v>
      </c>
      <c r="C836" t="str">
        <f t="shared" si="13"/>
        <v>31-Dec-21</v>
      </c>
      <c r="D836" t="s">
        <v>21</v>
      </c>
      <c r="E836" t="s">
        <v>22</v>
      </c>
      <c r="F836" t="str">
        <f>"B09QQ11"</f>
        <v>B09QQ11</v>
      </c>
      <c r="G836" t="s">
        <v>869</v>
      </c>
      <c r="I836" t="s">
        <v>856</v>
      </c>
      <c r="J836">
        <v>0.01182949</v>
      </c>
      <c r="K836">
        <v>23771</v>
      </c>
      <c r="L836">
        <v>5527092.53</v>
      </c>
      <c r="M836">
        <v>74581.4</v>
      </c>
      <c r="N836">
        <v>377.5</v>
      </c>
      <c r="O836">
        <v>8973552.5</v>
      </c>
      <c r="P836">
        <v>106152.55</v>
      </c>
      <c r="Q836">
        <v>0</v>
      </c>
      <c r="R836">
        <v>0</v>
      </c>
      <c r="S836">
        <v>0.053</v>
      </c>
      <c r="T836" t="s">
        <v>25</v>
      </c>
    </row>
    <row r="837" spans="1:20" ht="15">
      <c r="A837" t="s">
        <v>19</v>
      </c>
      <c r="B837" t="s">
        <v>20</v>
      </c>
      <c r="C837" t="str">
        <f t="shared" si="13"/>
        <v>31-Dec-21</v>
      </c>
      <c r="D837" t="s">
        <v>21</v>
      </c>
      <c r="E837" t="s">
        <v>22</v>
      </c>
      <c r="F837" t="str">
        <f>"6273583"</f>
        <v>6273583</v>
      </c>
      <c r="G837" t="s">
        <v>870</v>
      </c>
      <c r="I837" t="s">
        <v>856</v>
      </c>
      <c r="J837">
        <v>0.01182949</v>
      </c>
      <c r="K837">
        <v>3392</v>
      </c>
      <c r="L837">
        <v>9979269.72</v>
      </c>
      <c r="M837">
        <v>115540.03</v>
      </c>
      <c r="N837">
        <v>5013.4</v>
      </c>
      <c r="O837">
        <v>17005452.8</v>
      </c>
      <c r="P837">
        <v>201165.83</v>
      </c>
      <c r="Q837">
        <v>0</v>
      </c>
      <c r="R837">
        <v>0</v>
      </c>
      <c r="S837">
        <v>0.1</v>
      </c>
      <c r="T837" t="s">
        <v>25</v>
      </c>
    </row>
    <row r="838" spans="1:20" ht="15">
      <c r="A838" t="s">
        <v>19</v>
      </c>
      <c r="B838" t="s">
        <v>20</v>
      </c>
      <c r="C838" t="str">
        <f t="shared" si="13"/>
        <v>31-Dec-21</v>
      </c>
      <c r="D838" t="s">
        <v>21</v>
      </c>
      <c r="E838" t="s">
        <v>22</v>
      </c>
      <c r="F838" t="str">
        <f>"B01NFT1"</f>
        <v>B01NFT1</v>
      </c>
      <c r="G838" t="s">
        <v>871</v>
      </c>
      <c r="I838" t="s">
        <v>856</v>
      </c>
      <c r="J838">
        <v>0.01182949</v>
      </c>
      <c r="K838">
        <v>48712</v>
      </c>
      <c r="L838">
        <v>4224663.41</v>
      </c>
      <c r="M838">
        <v>54162.5</v>
      </c>
      <c r="N838">
        <v>122.45</v>
      </c>
      <c r="O838">
        <v>5964784.4</v>
      </c>
      <c r="P838">
        <v>70560.35</v>
      </c>
      <c r="Q838">
        <v>0</v>
      </c>
      <c r="R838">
        <v>0</v>
      </c>
      <c r="S838">
        <v>0.035</v>
      </c>
      <c r="T838" t="s">
        <v>25</v>
      </c>
    </row>
    <row r="839" spans="1:20" ht="15">
      <c r="A839" t="s">
        <v>19</v>
      </c>
      <c r="B839" t="s">
        <v>20</v>
      </c>
      <c r="C839" t="str">
        <f t="shared" si="13"/>
        <v>31-Dec-21</v>
      </c>
      <c r="D839" t="s">
        <v>21</v>
      </c>
      <c r="E839" t="s">
        <v>22</v>
      </c>
      <c r="F839" t="str">
        <f>"BCRWL65"</f>
        <v>BCRWL65</v>
      </c>
      <c r="G839" t="s">
        <v>872</v>
      </c>
      <c r="I839" t="s">
        <v>856</v>
      </c>
      <c r="J839">
        <v>0.01182949</v>
      </c>
      <c r="K839">
        <v>14153</v>
      </c>
      <c r="L839">
        <v>20376996.51</v>
      </c>
      <c r="M839">
        <v>254654.73</v>
      </c>
      <c r="N839">
        <v>3382.95</v>
      </c>
      <c r="O839">
        <v>47878891.35</v>
      </c>
      <c r="P839">
        <v>566382.85</v>
      </c>
      <c r="Q839">
        <v>0</v>
      </c>
      <c r="R839">
        <v>0</v>
      </c>
      <c r="S839">
        <v>0.281</v>
      </c>
      <c r="T839" t="s">
        <v>25</v>
      </c>
    </row>
    <row r="840" spans="1:20" ht="15">
      <c r="A840" t="s">
        <v>19</v>
      </c>
      <c r="B840" t="s">
        <v>20</v>
      </c>
      <c r="C840" t="str">
        <f t="shared" si="13"/>
        <v>31-Dec-21</v>
      </c>
      <c r="D840" t="s">
        <v>21</v>
      </c>
      <c r="E840" t="s">
        <v>22</v>
      </c>
      <c r="F840" t="str">
        <f>"BR2NB24"</f>
        <v>BR2NB24</v>
      </c>
      <c r="G840" t="s">
        <v>873</v>
      </c>
      <c r="I840" t="s">
        <v>856</v>
      </c>
      <c r="J840">
        <v>0.01182949</v>
      </c>
      <c r="K840">
        <v>2936</v>
      </c>
      <c r="L840">
        <v>4917516.25</v>
      </c>
      <c r="M840">
        <v>56935.02</v>
      </c>
      <c r="N840">
        <v>2281.8</v>
      </c>
      <c r="O840">
        <v>6699364.8</v>
      </c>
      <c r="P840">
        <v>79250.07</v>
      </c>
      <c r="Q840">
        <v>0</v>
      </c>
      <c r="R840">
        <v>0</v>
      </c>
      <c r="S840">
        <v>0.039</v>
      </c>
      <c r="T840" t="s">
        <v>25</v>
      </c>
    </row>
    <row r="841" spans="1:20" ht="15">
      <c r="A841" t="s">
        <v>19</v>
      </c>
      <c r="B841" t="s">
        <v>20</v>
      </c>
      <c r="C841" t="str">
        <f t="shared" si="13"/>
        <v>31-Dec-21</v>
      </c>
      <c r="D841" t="s">
        <v>21</v>
      </c>
      <c r="E841" t="s">
        <v>22</v>
      </c>
      <c r="F841" t="str">
        <f>"6702634"</f>
        <v>6702634</v>
      </c>
      <c r="G841" t="s">
        <v>874</v>
      </c>
      <c r="I841" t="s">
        <v>856</v>
      </c>
      <c r="J841">
        <v>0.01182949</v>
      </c>
      <c r="K841">
        <v>7593</v>
      </c>
      <c r="L841">
        <v>5861307.29</v>
      </c>
      <c r="M841">
        <v>79684.1</v>
      </c>
      <c r="N841">
        <v>734.35</v>
      </c>
      <c r="O841">
        <v>5575919.55</v>
      </c>
      <c r="P841">
        <v>65960.28</v>
      </c>
      <c r="Q841">
        <v>0</v>
      </c>
      <c r="R841">
        <v>0</v>
      </c>
      <c r="S841">
        <v>0.033</v>
      </c>
      <c r="T841" t="s">
        <v>25</v>
      </c>
    </row>
    <row r="842" spans="1:20" ht="15">
      <c r="A842" t="s">
        <v>19</v>
      </c>
      <c r="B842" t="s">
        <v>20</v>
      </c>
      <c r="C842" t="str">
        <f t="shared" si="13"/>
        <v>31-Dec-21</v>
      </c>
      <c r="D842" t="s">
        <v>21</v>
      </c>
      <c r="E842" t="s">
        <v>22</v>
      </c>
      <c r="F842" t="str">
        <f>"BYW1G33"</f>
        <v>BYW1G33</v>
      </c>
      <c r="G842" t="s">
        <v>875</v>
      </c>
      <c r="I842" t="s">
        <v>856</v>
      </c>
      <c r="J842">
        <v>0.01182949</v>
      </c>
      <c r="K842">
        <v>5042</v>
      </c>
      <c r="L842">
        <v>8596052.89</v>
      </c>
      <c r="M842">
        <v>105515.19</v>
      </c>
      <c r="N842">
        <v>4671.45</v>
      </c>
      <c r="O842">
        <v>23553450.9</v>
      </c>
      <c r="P842">
        <v>278625.3</v>
      </c>
      <c r="Q842">
        <v>0</v>
      </c>
      <c r="R842">
        <v>0</v>
      </c>
      <c r="S842">
        <v>0.138</v>
      </c>
      <c r="T842" t="s">
        <v>25</v>
      </c>
    </row>
    <row r="843" spans="1:20" ht="15">
      <c r="A843" t="s">
        <v>19</v>
      </c>
      <c r="B843" t="s">
        <v>20</v>
      </c>
      <c r="C843" t="str">
        <f t="shared" si="13"/>
        <v>31-Dec-21</v>
      </c>
      <c r="D843" t="s">
        <v>21</v>
      </c>
      <c r="E843" t="s">
        <v>22</v>
      </c>
      <c r="F843" t="str">
        <f>"BPFJHC7"</f>
        <v>BPFJHC7</v>
      </c>
      <c r="G843" t="s">
        <v>876</v>
      </c>
      <c r="I843" t="s">
        <v>856</v>
      </c>
      <c r="J843">
        <v>0.01182949</v>
      </c>
      <c r="K843">
        <v>71997</v>
      </c>
      <c r="L843">
        <v>40103380.09</v>
      </c>
      <c r="M843">
        <v>522784.4</v>
      </c>
      <c r="N843">
        <v>678.55</v>
      </c>
      <c r="O843">
        <v>48853564.35</v>
      </c>
      <c r="P843">
        <v>577912.73</v>
      </c>
      <c r="Q843">
        <v>0</v>
      </c>
      <c r="R843">
        <v>0</v>
      </c>
      <c r="S843">
        <v>0.286</v>
      </c>
      <c r="T843" t="s">
        <v>25</v>
      </c>
    </row>
    <row r="844" spans="1:20" ht="15">
      <c r="A844" t="s">
        <v>19</v>
      </c>
      <c r="B844" t="s">
        <v>20</v>
      </c>
      <c r="C844" t="str">
        <f t="shared" si="13"/>
        <v>31-Dec-21</v>
      </c>
      <c r="D844" t="s">
        <v>21</v>
      </c>
      <c r="E844" t="s">
        <v>22</v>
      </c>
      <c r="F844" t="str">
        <f>"B2QKXW0"</f>
        <v>B2QKXW0</v>
      </c>
      <c r="G844" t="s">
        <v>877</v>
      </c>
      <c r="I844" t="s">
        <v>856</v>
      </c>
      <c r="J844">
        <v>0.01182949</v>
      </c>
      <c r="K844">
        <v>2314</v>
      </c>
      <c r="L844">
        <v>6369010.93</v>
      </c>
      <c r="M844">
        <v>85934.85</v>
      </c>
      <c r="N844">
        <v>3249.25</v>
      </c>
      <c r="O844">
        <v>7518764.5</v>
      </c>
      <c r="P844">
        <v>88943.15</v>
      </c>
      <c r="Q844">
        <v>0</v>
      </c>
      <c r="R844">
        <v>0</v>
      </c>
      <c r="S844">
        <v>0.044</v>
      </c>
      <c r="T844" t="s">
        <v>25</v>
      </c>
    </row>
    <row r="845" spans="1:20" ht="15">
      <c r="A845" t="s">
        <v>19</v>
      </c>
      <c r="B845" t="s">
        <v>20</v>
      </c>
      <c r="C845" t="str">
        <f t="shared" si="13"/>
        <v>31-Dec-21</v>
      </c>
      <c r="D845" t="s">
        <v>21</v>
      </c>
      <c r="E845" t="s">
        <v>22</v>
      </c>
      <c r="F845" t="str">
        <f>"BD2N0P2"</f>
        <v>BD2N0P2</v>
      </c>
      <c r="G845" t="s">
        <v>878</v>
      </c>
      <c r="I845" t="s">
        <v>856</v>
      </c>
      <c r="J845">
        <v>0.01182949</v>
      </c>
      <c r="K845">
        <v>7438</v>
      </c>
      <c r="L845">
        <v>14916330.22</v>
      </c>
      <c r="M845">
        <v>183928.59</v>
      </c>
      <c r="N845">
        <v>6977.3</v>
      </c>
      <c r="O845">
        <v>51897157.4</v>
      </c>
      <c r="P845">
        <v>613916.88</v>
      </c>
      <c r="Q845">
        <v>0</v>
      </c>
      <c r="R845">
        <v>0</v>
      </c>
      <c r="S845">
        <v>0.304</v>
      </c>
      <c r="T845" t="s">
        <v>25</v>
      </c>
    </row>
    <row r="846" spans="1:20" ht="15">
      <c r="A846" t="s">
        <v>19</v>
      </c>
      <c r="B846" t="s">
        <v>20</v>
      </c>
      <c r="C846" t="str">
        <f t="shared" si="13"/>
        <v>31-Dec-21</v>
      </c>
      <c r="D846" t="s">
        <v>21</v>
      </c>
      <c r="E846" t="s">
        <v>22</v>
      </c>
      <c r="F846" t="str">
        <f>"B2QKWK1"</f>
        <v>B2QKWK1</v>
      </c>
      <c r="G846" t="s">
        <v>879</v>
      </c>
      <c r="I846" t="s">
        <v>856</v>
      </c>
      <c r="J846">
        <v>0.01182949</v>
      </c>
      <c r="K846">
        <v>1307</v>
      </c>
      <c r="L846">
        <v>4799147.52</v>
      </c>
      <c r="M846">
        <v>61593.4</v>
      </c>
      <c r="N846">
        <v>16406.2</v>
      </c>
      <c r="O846">
        <v>21442903.4</v>
      </c>
      <c r="P846">
        <v>253658.6</v>
      </c>
      <c r="Q846">
        <v>0</v>
      </c>
      <c r="R846">
        <v>0</v>
      </c>
      <c r="S846">
        <v>0.126</v>
      </c>
      <c r="T846" t="s">
        <v>25</v>
      </c>
    </row>
    <row r="847" spans="1:20" ht="15">
      <c r="A847" t="s">
        <v>19</v>
      </c>
      <c r="B847" t="s">
        <v>20</v>
      </c>
      <c r="C847" t="str">
        <f t="shared" si="13"/>
        <v>31-Dec-21</v>
      </c>
      <c r="D847" t="s">
        <v>21</v>
      </c>
      <c r="E847" t="s">
        <v>22</v>
      </c>
      <c r="F847" t="str">
        <f>"6124142"</f>
        <v>6124142</v>
      </c>
      <c r="G847" t="s">
        <v>880</v>
      </c>
      <c r="I847" t="s">
        <v>856</v>
      </c>
      <c r="J847">
        <v>0.01182949</v>
      </c>
      <c r="K847">
        <v>749</v>
      </c>
      <c r="L847">
        <v>1822849.29</v>
      </c>
      <c r="M847">
        <v>24013.26</v>
      </c>
      <c r="N847">
        <v>5432.05</v>
      </c>
      <c r="O847">
        <v>4068605.45</v>
      </c>
      <c r="P847">
        <v>48129.53</v>
      </c>
      <c r="Q847">
        <v>0</v>
      </c>
      <c r="R847">
        <v>0</v>
      </c>
      <c r="S847">
        <v>0.024</v>
      </c>
      <c r="T847" t="s">
        <v>25</v>
      </c>
    </row>
    <row r="848" spans="1:20" ht="15">
      <c r="A848" t="s">
        <v>19</v>
      </c>
      <c r="B848" t="s">
        <v>20</v>
      </c>
      <c r="C848" t="str">
        <f t="shared" si="13"/>
        <v>31-Dec-21</v>
      </c>
      <c r="D848" t="s">
        <v>21</v>
      </c>
      <c r="E848" t="s">
        <v>22</v>
      </c>
      <c r="F848" t="str">
        <f>"6388788"</f>
        <v>6388788</v>
      </c>
      <c r="G848" t="s">
        <v>881</v>
      </c>
      <c r="I848" t="s">
        <v>856</v>
      </c>
      <c r="J848">
        <v>0.01182949</v>
      </c>
      <c r="K848">
        <v>2812</v>
      </c>
      <c r="L848">
        <v>3896041.96</v>
      </c>
      <c r="M848">
        <v>44581.42</v>
      </c>
      <c r="N848">
        <v>2323.4</v>
      </c>
      <c r="O848">
        <v>6533400.8</v>
      </c>
      <c r="P848">
        <v>77286.8</v>
      </c>
      <c r="Q848">
        <v>0</v>
      </c>
      <c r="R848">
        <v>0</v>
      </c>
      <c r="S848">
        <v>0.038</v>
      </c>
      <c r="T848" t="s">
        <v>25</v>
      </c>
    </row>
    <row r="849" spans="1:20" ht="15">
      <c r="A849" t="s">
        <v>19</v>
      </c>
      <c r="B849" t="s">
        <v>20</v>
      </c>
      <c r="C849" t="str">
        <f t="shared" si="13"/>
        <v>31-Dec-21</v>
      </c>
      <c r="D849" t="s">
        <v>21</v>
      </c>
      <c r="E849" t="s">
        <v>22</v>
      </c>
      <c r="F849" t="str">
        <f>"BG1SV45"</f>
        <v>BG1SV45</v>
      </c>
      <c r="G849" t="s">
        <v>882</v>
      </c>
      <c r="I849" t="s">
        <v>856</v>
      </c>
      <c r="J849">
        <v>0.01182949</v>
      </c>
      <c r="K849">
        <v>26500</v>
      </c>
      <c r="L849">
        <v>9590405.29</v>
      </c>
      <c r="M849">
        <v>119016.9</v>
      </c>
      <c r="N849">
        <v>252.7</v>
      </c>
      <c r="O849">
        <v>6696550</v>
      </c>
      <c r="P849">
        <v>79216.77</v>
      </c>
      <c r="Q849">
        <v>0</v>
      </c>
      <c r="R849">
        <v>0</v>
      </c>
      <c r="S849">
        <v>0.039</v>
      </c>
      <c r="T849" t="s">
        <v>25</v>
      </c>
    </row>
    <row r="850" spans="1:20" ht="15">
      <c r="A850" t="s">
        <v>19</v>
      </c>
      <c r="B850" t="s">
        <v>20</v>
      </c>
      <c r="C850" t="str">
        <f t="shared" si="13"/>
        <v>31-Dec-21</v>
      </c>
      <c r="D850" t="s">
        <v>21</v>
      </c>
      <c r="E850" t="s">
        <v>22</v>
      </c>
      <c r="F850" t="str">
        <f>"BYMFG13"</f>
        <v>BYMFG13</v>
      </c>
      <c r="G850" t="s">
        <v>883</v>
      </c>
      <c r="I850" t="s">
        <v>856</v>
      </c>
      <c r="J850">
        <v>0.01182949</v>
      </c>
      <c r="K850">
        <v>1121</v>
      </c>
      <c r="L850">
        <v>1917893.19</v>
      </c>
      <c r="M850">
        <v>23720.58</v>
      </c>
      <c r="N850">
        <v>1871.65</v>
      </c>
      <c r="O850">
        <v>2098119.65</v>
      </c>
      <c r="P850">
        <v>24819.68</v>
      </c>
      <c r="Q850">
        <v>0</v>
      </c>
      <c r="R850">
        <v>0</v>
      </c>
      <c r="S850">
        <v>0.012</v>
      </c>
      <c r="T850" t="s">
        <v>25</v>
      </c>
    </row>
    <row r="851" spans="1:20" ht="15">
      <c r="A851" t="s">
        <v>19</v>
      </c>
      <c r="B851" t="s">
        <v>20</v>
      </c>
      <c r="C851" t="str">
        <f t="shared" si="13"/>
        <v>31-Dec-21</v>
      </c>
      <c r="D851" t="s">
        <v>21</v>
      </c>
      <c r="E851" t="s">
        <v>22</v>
      </c>
      <c r="F851" t="str">
        <f>"6716992"</f>
        <v>6716992</v>
      </c>
      <c r="G851" t="s">
        <v>884</v>
      </c>
      <c r="I851" t="s">
        <v>856</v>
      </c>
      <c r="J851">
        <v>0.01182949</v>
      </c>
      <c r="K851">
        <v>567</v>
      </c>
      <c r="L851">
        <v>3460083.19</v>
      </c>
      <c r="M851">
        <v>39499.74</v>
      </c>
      <c r="N851">
        <v>4965.2</v>
      </c>
      <c r="O851">
        <v>2815268.4</v>
      </c>
      <c r="P851">
        <v>33303.19</v>
      </c>
      <c r="Q851">
        <v>0</v>
      </c>
      <c r="R851">
        <v>0</v>
      </c>
      <c r="S851">
        <v>0.017</v>
      </c>
      <c r="T851" t="s">
        <v>25</v>
      </c>
    </row>
    <row r="852" spans="1:20" ht="15">
      <c r="A852" t="s">
        <v>19</v>
      </c>
      <c r="B852" t="s">
        <v>20</v>
      </c>
      <c r="C852" t="str">
        <f t="shared" si="13"/>
        <v>31-Dec-21</v>
      </c>
      <c r="D852" t="s">
        <v>21</v>
      </c>
      <c r="E852" t="s">
        <v>22</v>
      </c>
      <c r="F852" t="str">
        <f>"BV8TBJ1"</f>
        <v>BV8TBJ1</v>
      </c>
      <c r="G852" t="s">
        <v>885</v>
      </c>
      <c r="I852" t="s">
        <v>856</v>
      </c>
      <c r="J852">
        <v>0.01182949</v>
      </c>
      <c r="K852">
        <v>8228</v>
      </c>
      <c r="L852">
        <v>2336777.98</v>
      </c>
      <c r="M852">
        <v>29405.47</v>
      </c>
      <c r="N852">
        <v>771.75</v>
      </c>
      <c r="O852">
        <v>6349959</v>
      </c>
      <c r="P852">
        <v>75116.77</v>
      </c>
      <c r="Q852">
        <v>0</v>
      </c>
      <c r="R852">
        <v>0</v>
      </c>
      <c r="S852">
        <v>0.037</v>
      </c>
      <c r="T852" t="s">
        <v>25</v>
      </c>
    </row>
    <row r="853" spans="1:20" ht="15">
      <c r="A853" t="s">
        <v>19</v>
      </c>
      <c r="B853" t="s">
        <v>20</v>
      </c>
      <c r="C853" t="str">
        <f t="shared" si="13"/>
        <v>31-Dec-21</v>
      </c>
      <c r="D853" t="s">
        <v>21</v>
      </c>
      <c r="E853" t="s">
        <v>22</v>
      </c>
      <c r="F853" t="str">
        <f>"BF1THH6"</f>
        <v>BF1THH6</v>
      </c>
      <c r="G853" t="s">
        <v>886</v>
      </c>
      <c r="I853" t="s">
        <v>856</v>
      </c>
      <c r="J853">
        <v>0.01182949</v>
      </c>
      <c r="K853">
        <v>34911</v>
      </c>
      <c r="L853">
        <v>4881345.34</v>
      </c>
      <c r="M853">
        <v>63783.99</v>
      </c>
      <c r="N853">
        <v>209.95</v>
      </c>
      <c r="O853">
        <v>7329564.45</v>
      </c>
      <c r="P853">
        <v>86705.01</v>
      </c>
      <c r="Q853">
        <v>0</v>
      </c>
      <c r="R853">
        <v>0</v>
      </c>
      <c r="S853">
        <v>0.043</v>
      </c>
      <c r="T853" t="s">
        <v>25</v>
      </c>
    </row>
    <row r="854" spans="1:20" ht="15">
      <c r="A854" t="s">
        <v>19</v>
      </c>
      <c r="B854" t="s">
        <v>20</v>
      </c>
      <c r="C854" t="str">
        <f t="shared" si="13"/>
        <v>31-Dec-21</v>
      </c>
      <c r="D854" t="s">
        <v>21</v>
      </c>
      <c r="E854" t="s">
        <v>22</v>
      </c>
      <c r="F854" t="str">
        <f>"B0C1DM3"</f>
        <v>B0C1DM3</v>
      </c>
      <c r="G854" t="s">
        <v>887</v>
      </c>
      <c r="I854" t="s">
        <v>856</v>
      </c>
      <c r="J854">
        <v>0.01182949</v>
      </c>
      <c r="K854">
        <v>8542</v>
      </c>
      <c r="L854">
        <v>3673896.29</v>
      </c>
      <c r="M854">
        <v>51944.13</v>
      </c>
      <c r="N854">
        <v>697.85</v>
      </c>
      <c r="O854">
        <v>5961034.7</v>
      </c>
      <c r="P854">
        <v>70516</v>
      </c>
      <c r="Q854">
        <v>0</v>
      </c>
      <c r="R854">
        <v>0</v>
      </c>
      <c r="S854">
        <v>0.035</v>
      </c>
      <c r="T854" t="s">
        <v>25</v>
      </c>
    </row>
    <row r="855" spans="1:20" ht="15">
      <c r="A855" t="s">
        <v>19</v>
      </c>
      <c r="B855" t="s">
        <v>20</v>
      </c>
      <c r="C855" t="str">
        <f t="shared" si="13"/>
        <v>31-Dec-21</v>
      </c>
      <c r="D855" t="s">
        <v>21</v>
      </c>
      <c r="E855" t="s">
        <v>22</v>
      </c>
      <c r="F855" t="str">
        <f>"B6SNRV2"</f>
        <v>B6SNRV2</v>
      </c>
      <c r="G855" t="s">
        <v>888</v>
      </c>
      <c r="I855" t="s">
        <v>856</v>
      </c>
      <c r="J855">
        <v>0.01182949</v>
      </c>
      <c r="K855">
        <v>45815</v>
      </c>
      <c r="L855">
        <v>5302948.36</v>
      </c>
      <c r="M855">
        <v>74976.81</v>
      </c>
      <c r="N855">
        <v>58.95</v>
      </c>
      <c r="O855">
        <v>2700794.25</v>
      </c>
      <c r="P855">
        <v>31949.02</v>
      </c>
      <c r="Q855">
        <v>0</v>
      </c>
      <c r="R855">
        <v>0</v>
      </c>
      <c r="S855">
        <v>0.016</v>
      </c>
      <c r="T855" t="s">
        <v>25</v>
      </c>
    </row>
    <row r="856" spans="1:20" ht="15">
      <c r="A856" t="s">
        <v>19</v>
      </c>
      <c r="B856" t="s">
        <v>20</v>
      </c>
      <c r="C856" t="str">
        <f t="shared" si="13"/>
        <v>31-Dec-21</v>
      </c>
      <c r="D856" t="s">
        <v>21</v>
      </c>
      <c r="E856" t="s">
        <v>22</v>
      </c>
      <c r="F856" t="str">
        <f>"6099723"</f>
        <v>6099723</v>
      </c>
      <c r="G856" t="s">
        <v>889</v>
      </c>
      <c r="I856" t="s">
        <v>856</v>
      </c>
      <c r="J856">
        <v>0.01182949</v>
      </c>
      <c r="K856">
        <v>33846</v>
      </c>
      <c r="L856">
        <v>12235188.19</v>
      </c>
      <c r="M856">
        <v>163765.3</v>
      </c>
      <c r="N856">
        <v>385.45</v>
      </c>
      <c r="O856">
        <v>13045940.7</v>
      </c>
      <c r="P856">
        <v>154326.82</v>
      </c>
      <c r="Q856">
        <v>0</v>
      </c>
      <c r="R856">
        <v>0</v>
      </c>
      <c r="S856">
        <v>0.077</v>
      </c>
      <c r="T856" t="s">
        <v>25</v>
      </c>
    </row>
    <row r="857" spans="1:20" ht="15">
      <c r="A857" t="s">
        <v>19</v>
      </c>
      <c r="B857" t="s">
        <v>20</v>
      </c>
      <c r="C857" t="str">
        <f t="shared" si="13"/>
        <v>31-Dec-21</v>
      </c>
      <c r="D857" t="s">
        <v>21</v>
      </c>
      <c r="E857" t="s">
        <v>22</v>
      </c>
      <c r="F857" t="str">
        <f>"6442327"</f>
        <v>6442327</v>
      </c>
      <c r="G857" t="s">
        <v>890</v>
      </c>
      <c r="I857" t="s">
        <v>856</v>
      </c>
      <c r="J857">
        <v>0.01182949</v>
      </c>
      <c r="K857">
        <v>72726</v>
      </c>
      <c r="L857">
        <v>31143816.19</v>
      </c>
      <c r="M857">
        <v>383593.21</v>
      </c>
      <c r="N857">
        <v>683.8</v>
      </c>
      <c r="O857">
        <v>49730038.8</v>
      </c>
      <c r="P857">
        <v>588280.98</v>
      </c>
      <c r="Q857">
        <v>0</v>
      </c>
      <c r="R857">
        <v>0</v>
      </c>
      <c r="S857">
        <v>0.292</v>
      </c>
      <c r="T857" t="s">
        <v>25</v>
      </c>
    </row>
    <row r="858" spans="1:20" ht="15">
      <c r="A858" t="s">
        <v>19</v>
      </c>
      <c r="B858" t="s">
        <v>20</v>
      </c>
      <c r="C858" t="str">
        <f t="shared" si="13"/>
        <v>31-Dec-21</v>
      </c>
      <c r="D858" t="s">
        <v>21</v>
      </c>
      <c r="E858" t="s">
        <v>22</v>
      </c>
      <c r="F858" t="str">
        <f>"6741251"</f>
        <v>6741251</v>
      </c>
      <c r="G858" t="s">
        <v>891</v>
      </c>
      <c r="I858" t="s">
        <v>856</v>
      </c>
      <c r="J858">
        <v>0.01182949</v>
      </c>
      <c r="K858">
        <v>13101</v>
      </c>
      <c r="L858">
        <v>4793261.48</v>
      </c>
      <c r="M858">
        <v>56843.66</v>
      </c>
      <c r="N858">
        <v>364.65</v>
      </c>
      <c r="O858">
        <v>4777279.65</v>
      </c>
      <c r="P858">
        <v>56512.78</v>
      </c>
      <c r="Q858">
        <v>0</v>
      </c>
      <c r="R858">
        <v>0</v>
      </c>
      <c r="S858">
        <v>0.028</v>
      </c>
      <c r="T858" t="s">
        <v>25</v>
      </c>
    </row>
    <row r="859" spans="1:20" ht="15">
      <c r="A859" t="s">
        <v>19</v>
      </c>
      <c r="B859" t="s">
        <v>20</v>
      </c>
      <c r="C859" t="str">
        <f t="shared" si="13"/>
        <v>31-Dec-21</v>
      </c>
      <c r="D859" t="s">
        <v>21</v>
      </c>
      <c r="E859" t="s">
        <v>22</v>
      </c>
      <c r="F859" t="str">
        <f>"BVF87C6"</f>
        <v>BVF87C6</v>
      </c>
      <c r="G859" t="s">
        <v>892</v>
      </c>
      <c r="I859" t="s">
        <v>856</v>
      </c>
      <c r="J859">
        <v>0.01182949</v>
      </c>
      <c r="K859">
        <v>38981</v>
      </c>
      <c r="L859">
        <v>5957370.65</v>
      </c>
      <c r="M859">
        <v>82955.56</v>
      </c>
      <c r="N859">
        <v>81.95</v>
      </c>
      <c r="O859">
        <v>3194492.95</v>
      </c>
      <c r="P859">
        <v>37789.22</v>
      </c>
      <c r="Q859">
        <v>0</v>
      </c>
      <c r="R859">
        <v>0</v>
      </c>
      <c r="S859">
        <v>0.019</v>
      </c>
      <c r="T859" t="s">
        <v>25</v>
      </c>
    </row>
    <row r="860" spans="1:20" ht="15">
      <c r="A860" t="s">
        <v>19</v>
      </c>
      <c r="B860" t="s">
        <v>20</v>
      </c>
      <c r="C860" t="str">
        <f t="shared" si="13"/>
        <v>31-Dec-21</v>
      </c>
      <c r="D860" t="s">
        <v>21</v>
      </c>
      <c r="E860" t="s">
        <v>22</v>
      </c>
      <c r="F860" t="str">
        <f>"6099789"</f>
        <v>6099789</v>
      </c>
      <c r="G860" t="s">
        <v>893</v>
      </c>
      <c r="I860" t="s">
        <v>856</v>
      </c>
      <c r="J860">
        <v>0.01182949</v>
      </c>
      <c r="K860">
        <v>12551</v>
      </c>
      <c r="L860">
        <v>1813996.39</v>
      </c>
      <c r="M860">
        <v>23867.77</v>
      </c>
      <c r="N860">
        <v>51.4</v>
      </c>
      <c r="O860">
        <v>645121.4</v>
      </c>
      <c r="P860">
        <v>7631.46</v>
      </c>
      <c r="Q860">
        <v>0</v>
      </c>
      <c r="R860">
        <v>0</v>
      </c>
      <c r="S860">
        <v>0.004</v>
      </c>
      <c r="T860" t="s">
        <v>25</v>
      </c>
    </row>
    <row r="861" spans="1:20" ht="15">
      <c r="A861" t="s">
        <v>19</v>
      </c>
      <c r="B861" t="s">
        <v>20</v>
      </c>
      <c r="C861" t="str">
        <f t="shared" si="13"/>
        <v>31-Dec-21</v>
      </c>
      <c r="D861" t="s">
        <v>21</v>
      </c>
      <c r="E861" t="s">
        <v>22</v>
      </c>
      <c r="F861" t="str">
        <f>"B01NFV3"</f>
        <v>B01NFV3</v>
      </c>
      <c r="G861" t="s">
        <v>894</v>
      </c>
      <c r="I861" t="s">
        <v>856</v>
      </c>
      <c r="J861">
        <v>0.01182949</v>
      </c>
      <c r="K861">
        <v>287</v>
      </c>
      <c r="L861">
        <v>4891731.77</v>
      </c>
      <c r="M861">
        <v>67189.02</v>
      </c>
      <c r="N861">
        <v>17320.25</v>
      </c>
      <c r="O861">
        <v>4970911.75</v>
      </c>
      <c r="P861">
        <v>58803.35</v>
      </c>
      <c r="Q861">
        <v>0</v>
      </c>
      <c r="R861">
        <v>0</v>
      </c>
      <c r="S861">
        <v>0.029</v>
      </c>
      <c r="T861" t="s">
        <v>25</v>
      </c>
    </row>
    <row r="862" spans="1:20" ht="15">
      <c r="A862" t="s">
        <v>19</v>
      </c>
      <c r="B862" t="s">
        <v>20</v>
      </c>
      <c r="C862" t="str">
        <f t="shared" si="13"/>
        <v>31-Dec-21</v>
      </c>
      <c r="D862" t="s">
        <v>21</v>
      </c>
      <c r="E862" t="s">
        <v>22</v>
      </c>
      <c r="F862" t="str">
        <f>"BGSQG47"</f>
        <v>BGSQG47</v>
      </c>
      <c r="G862" t="s">
        <v>895</v>
      </c>
      <c r="I862" t="s">
        <v>856</v>
      </c>
      <c r="J862">
        <v>0.01182949</v>
      </c>
      <c r="K862">
        <v>3907</v>
      </c>
      <c r="L862">
        <v>9542949.26</v>
      </c>
      <c r="M862">
        <v>117392.1</v>
      </c>
      <c r="N862">
        <v>3606</v>
      </c>
      <c r="O862">
        <v>14088642</v>
      </c>
      <c r="P862">
        <v>166661.44</v>
      </c>
      <c r="Q862">
        <v>0</v>
      </c>
      <c r="R862">
        <v>0</v>
      </c>
      <c r="S862">
        <v>0.083</v>
      </c>
      <c r="T862" t="s">
        <v>25</v>
      </c>
    </row>
    <row r="863" spans="1:20" ht="15">
      <c r="A863" t="s">
        <v>19</v>
      </c>
      <c r="B863" t="s">
        <v>20</v>
      </c>
      <c r="C863" t="str">
        <f t="shared" si="13"/>
        <v>31-Dec-21</v>
      </c>
      <c r="D863" t="s">
        <v>21</v>
      </c>
      <c r="E863" t="s">
        <v>22</v>
      </c>
      <c r="F863" t="str">
        <f>"BYM8TG8"</f>
        <v>BYM8TG8</v>
      </c>
      <c r="G863" t="s">
        <v>896</v>
      </c>
      <c r="I863" t="s">
        <v>856</v>
      </c>
      <c r="J863">
        <v>0.01182949</v>
      </c>
      <c r="K863">
        <v>8497</v>
      </c>
      <c r="L863">
        <v>3444399.53</v>
      </c>
      <c r="M863">
        <v>48699.34</v>
      </c>
      <c r="N863">
        <v>483.15</v>
      </c>
      <c r="O863">
        <v>4105325.55</v>
      </c>
      <c r="P863">
        <v>48563.91</v>
      </c>
      <c r="Q863">
        <v>0</v>
      </c>
      <c r="R863">
        <v>0</v>
      </c>
      <c r="S863">
        <v>0.024</v>
      </c>
      <c r="T863" t="s">
        <v>25</v>
      </c>
    </row>
    <row r="864" spans="1:20" ht="15">
      <c r="A864" t="s">
        <v>19</v>
      </c>
      <c r="B864" t="s">
        <v>20</v>
      </c>
      <c r="C864" t="str">
        <f t="shared" si="13"/>
        <v>31-Dec-21</v>
      </c>
      <c r="D864" t="s">
        <v>21</v>
      </c>
      <c r="E864" t="s">
        <v>22</v>
      </c>
      <c r="F864" t="str">
        <f>"6580012"</f>
        <v>6580012</v>
      </c>
      <c r="G864" t="s">
        <v>897</v>
      </c>
      <c r="I864" t="s">
        <v>856</v>
      </c>
      <c r="J864">
        <v>0.01182949</v>
      </c>
      <c r="K864">
        <v>16117</v>
      </c>
      <c r="L864">
        <v>3780118.31</v>
      </c>
      <c r="M864">
        <v>47586.96</v>
      </c>
      <c r="N864">
        <v>199.95</v>
      </c>
      <c r="O864">
        <v>3222594.15</v>
      </c>
      <c r="P864">
        <v>38121.64</v>
      </c>
      <c r="Q864">
        <v>0</v>
      </c>
      <c r="R864">
        <v>0</v>
      </c>
      <c r="S864">
        <v>0.019</v>
      </c>
      <c r="T864" t="s">
        <v>25</v>
      </c>
    </row>
    <row r="865" spans="1:20" ht="15">
      <c r="A865" t="s">
        <v>19</v>
      </c>
      <c r="B865" t="s">
        <v>20</v>
      </c>
      <c r="C865" t="str">
        <f t="shared" si="13"/>
        <v>31-Dec-21</v>
      </c>
      <c r="D865" t="s">
        <v>21</v>
      </c>
      <c r="E865" t="s">
        <v>22</v>
      </c>
      <c r="F865" t="str">
        <f>"BKS8B79"</f>
        <v>BKS8B79</v>
      </c>
      <c r="G865" t="s">
        <v>898</v>
      </c>
      <c r="I865" t="s">
        <v>856</v>
      </c>
      <c r="J865">
        <v>0.01182949</v>
      </c>
      <c r="K865">
        <v>16559</v>
      </c>
      <c r="L865">
        <v>2901824.24</v>
      </c>
      <c r="M865">
        <v>37774.44</v>
      </c>
      <c r="N865">
        <v>122.8</v>
      </c>
      <c r="O865">
        <v>2033445.2</v>
      </c>
      <c r="P865">
        <v>24054.62</v>
      </c>
      <c r="Q865">
        <v>0</v>
      </c>
      <c r="R865">
        <v>0</v>
      </c>
      <c r="S865">
        <v>0.012</v>
      </c>
      <c r="T865" t="s">
        <v>25</v>
      </c>
    </row>
    <row r="866" spans="1:20" ht="15">
      <c r="A866" t="s">
        <v>19</v>
      </c>
      <c r="B866" t="s">
        <v>20</v>
      </c>
      <c r="C866" t="str">
        <f t="shared" si="13"/>
        <v>31-Dec-21</v>
      </c>
      <c r="D866" t="s">
        <v>21</v>
      </c>
      <c r="E866" t="s">
        <v>22</v>
      </c>
      <c r="F866" t="str">
        <f>"BJ9K2H4"</f>
        <v>BJ9K2H4</v>
      </c>
      <c r="G866" t="s">
        <v>899</v>
      </c>
      <c r="I866" t="s">
        <v>856</v>
      </c>
      <c r="J866">
        <v>0.01182949</v>
      </c>
      <c r="K866">
        <v>13467</v>
      </c>
      <c r="L866">
        <v>4595548.35</v>
      </c>
      <c r="M866">
        <v>57390.19</v>
      </c>
      <c r="N866">
        <v>520.4</v>
      </c>
      <c r="O866">
        <v>7008226.8</v>
      </c>
      <c r="P866">
        <v>82903.75</v>
      </c>
      <c r="Q866">
        <v>0</v>
      </c>
      <c r="R866">
        <v>0</v>
      </c>
      <c r="S866">
        <v>0.041</v>
      </c>
      <c r="T866" t="s">
        <v>25</v>
      </c>
    </row>
    <row r="867" spans="1:20" ht="15">
      <c r="A867" t="s">
        <v>19</v>
      </c>
      <c r="B867" t="s">
        <v>20</v>
      </c>
      <c r="C867" t="str">
        <f t="shared" si="13"/>
        <v>31-Dec-21</v>
      </c>
      <c r="D867" t="s">
        <v>21</v>
      </c>
      <c r="E867" t="s">
        <v>22</v>
      </c>
      <c r="F867" t="str">
        <f>"B011108"</f>
        <v>B011108</v>
      </c>
      <c r="G867" t="s">
        <v>900</v>
      </c>
      <c r="I867" t="s">
        <v>856</v>
      </c>
      <c r="J867">
        <v>0.01182949</v>
      </c>
      <c r="K867">
        <v>17035</v>
      </c>
      <c r="L867">
        <v>11703121.14</v>
      </c>
      <c r="M867">
        <v>149820.22</v>
      </c>
      <c r="N867">
        <v>944.1</v>
      </c>
      <c r="O867">
        <v>16082743.5</v>
      </c>
      <c r="P867">
        <v>190250.65</v>
      </c>
      <c r="Q867">
        <v>0</v>
      </c>
      <c r="R867">
        <v>0</v>
      </c>
      <c r="S867">
        <v>0.094</v>
      </c>
      <c r="T867" t="s">
        <v>25</v>
      </c>
    </row>
    <row r="868" spans="1:20" ht="15">
      <c r="A868" t="s">
        <v>19</v>
      </c>
      <c r="B868" t="s">
        <v>20</v>
      </c>
      <c r="C868" t="str">
        <f t="shared" si="13"/>
        <v>31-Dec-21</v>
      </c>
      <c r="D868" t="s">
        <v>21</v>
      </c>
      <c r="E868" t="s">
        <v>22</v>
      </c>
      <c r="F868" t="str">
        <f>"B4Z9XF5"</f>
        <v>B4Z9XF5</v>
      </c>
      <c r="G868" t="s">
        <v>901</v>
      </c>
      <c r="I868" t="s">
        <v>856</v>
      </c>
      <c r="J868">
        <v>0.01182949</v>
      </c>
      <c r="K868">
        <v>64714</v>
      </c>
      <c r="L868">
        <v>17235801.12</v>
      </c>
      <c r="M868">
        <v>228299.55</v>
      </c>
      <c r="N868">
        <v>146.05</v>
      </c>
      <c r="O868">
        <v>9451479.7</v>
      </c>
      <c r="P868">
        <v>111806.18</v>
      </c>
      <c r="Q868">
        <v>0</v>
      </c>
      <c r="R868">
        <v>0</v>
      </c>
      <c r="S868">
        <v>0.055</v>
      </c>
      <c r="T868" t="s">
        <v>25</v>
      </c>
    </row>
    <row r="869" spans="1:20" ht="15">
      <c r="A869" t="s">
        <v>19</v>
      </c>
      <c r="B869" t="s">
        <v>20</v>
      </c>
      <c r="C869" t="str">
        <f t="shared" si="13"/>
        <v>31-Dec-21</v>
      </c>
      <c r="D869" t="s">
        <v>21</v>
      </c>
      <c r="E869" t="s">
        <v>22</v>
      </c>
      <c r="F869" t="str">
        <f>"6139696"</f>
        <v>6139696</v>
      </c>
      <c r="G869" t="s">
        <v>902</v>
      </c>
      <c r="I869" t="s">
        <v>856</v>
      </c>
      <c r="J869">
        <v>0.01182949</v>
      </c>
      <c r="K869">
        <v>4470</v>
      </c>
      <c r="L869">
        <v>5138081.59</v>
      </c>
      <c r="M869">
        <v>64088.44</v>
      </c>
      <c r="N869">
        <v>1481.3</v>
      </c>
      <c r="O869">
        <v>6621411</v>
      </c>
      <c r="P869">
        <v>78327.91</v>
      </c>
      <c r="Q869">
        <v>0</v>
      </c>
      <c r="R869">
        <v>0</v>
      </c>
      <c r="S869">
        <v>0.039</v>
      </c>
      <c r="T869" t="s">
        <v>25</v>
      </c>
    </row>
    <row r="870" spans="1:20" ht="15">
      <c r="A870" t="s">
        <v>19</v>
      </c>
      <c r="B870" t="s">
        <v>20</v>
      </c>
      <c r="C870" t="str">
        <f t="shared" si="13"/>
        <v>31-Dec-21</v>
      </c>
      <c r="D870" t="s">
        <v>21</v>
      </c>
      <c r="E870" t="s">
        <v>22</v>
      </c>
      <c r="F870" t="str">
        <f>"BG0ZVG9"</f>
        <v>BG0ZVG9</v>
      </c>
      <c r="G870" t="s">
        <v>903</v>
      </c>
      <c r="I870" t="s">
        <v>856</v>
      </c>
      <c r="J870">
        <v>0.01182949</v>
      </c>
      <c r="K870">
        <v>8795</v>
      </c>
      <c r="L870">
        <v>4744793.73</v>
      </c>
      <c r="M870">
        <v>61444.1</v>
      </c>
      <c r="N870">
        <v>614.55</v>
      </c>
      <c r="O870">
        <v>5404967.25</v>
      </c>
      <c r="P870">
        <v>63938</v>
      </c>
      <c r="Q870">
        <v>0</v>
      </c>
      <c r="R870">
        <v>0</v>
      </c>
      <c r="S870">
        <v>0.032</v>
      </c>
      <c r="T870" t="s">
        <v>25</v>
      </c>
    </row>
    <row r="871" spans="1:20" ht="15">
      <c r="A871" t="s">
        <v>19</v>
      </c>
      <c r="B871" t="s">
        <v>20</v>
      </c>
      <c r="C871" t="str">
        <f t="shared" si="13"/>
        <v>31-Dec-21</v>
      </c>
      <c r="D871" t="s">
        <v>21</v>
      </c>
      <c r="E871" t="s">
        <v>22</v>
      </c>
      <c r="F871" t="str">
        <f>"B0VDZN5"</f>
        <v>B0VDZN5</v>
      </c>
      <c r="G871" t="s">
        <v>904</v>
      </c>
      <c r="I871" t="s">
        <v>856</v>
      </c>
      <c r="J871">
        <v>0.01182949</v>
      </c>
      <c r="K871">
        <v>1473</v>
      </c>
      <c r="L871">
        <v>1138019.25</v>
      </c>
      <c r="M871">
        <v>12961.01</v>
      </c>
      <c r="N871">
        <v>756.05</v>
      </c>
      <c r="O871">
        <v>1113661.65</v>
      </c>
      <c r="P871">
        <v>13174.05</v>
      </c>
      <c r="Q871">
        <v>0</v>
      </c>
      <c r="R871">
        <v>0</v>
      </c>
      <c r="S871">
        <v>0.007</v>
      </c>
      <c r="T871" t="s">
        <v>25</v>
      </c>
    </row>
    <row r="872" spans="1:20" ht="15">
      <c r="A872" t="s">
        <v>19</v>
      </c>
      <c r="B872" t="s">
        <v>20</v>
      </c>
      <c r="C872" t="str">
        <f t="shared" si="13"/>
        <v>31-Dec-21</v>
      </c>
      <c r="D872" t="s">
        <v>21</v>
      </c>
      <c r="E872" t="s">
        <v>22</v>
      </c>
      <c r="F872" t="str">
        <f>"6294863"</f>
        <v>6294863</v>
      </c>
      <c r="G872" t="s">
        <v>905</v>
      </c>
      <c r="I872" t="s">
        <v>856</v>
      </c>
      <c r="J872">
        <v>0.01182949</v>
      </c>
      <c r="K872">
        <v>4705</v>
      </c>
      <c r="L872">
        <v>4680191.88</v>
      </c>
      <c r="M872">
        <v>66171.84</v>
      </c>
      <c r="N872">
        <v>941.8</v>
      </c>
      <c r="O872">
        <v>4431169</v>
      </c>
      <c r="P872">
        <v>52418.47</v>
      </c>
      <c r="Q872">
        <v>0</v>
      </c>
      <c r="R872">
        <v>0</v>
      </c>
      <c r="S872">
        <v>0.026</v>
      </c>
      <c r="T872" t="s">
        <v>25</v>
      </c>
    </row>
    <row r="873" spans="1:20" ht="15">
      <c r="A873" t="s">
        <v>19</v>
      </c>
      <c r="B873" t="s">
        <v>20</v>
      </c>
      <c r="C873" t="str">
        <f t="shared" si="13"/>
        <v>31-Dec-21</v>
      </c>
      <c r="D873" t="s">
        <v>21</v>
      </c>
      <c r="E873" t="s">
        <v>22</v>
      </c>
      <c r="F873" t="str">
        <f>"B1YLCV0"</f>
        <v>B1YLCV0</v>
      </c>
      <c r="G873" t="s">
        <v>906</v>
      </c>
      <c r="I873" t="s">
        <v>856</v>
      </c>
      <c r="J873">
        <v>0.01182949</v>
      </c>
      <c r="K873">
        <v>20368</v>
      </c>
      <c r="L873">
        <v>2861673.03</v>
      </c>
      <c r="M873">
        <v>37152.38</v>
      </c>
      <c r="N873">
        <v>390.45</v>
      </c>
      <c r="O873">
        <v>7952685.6</v>
      </c>
      <c r="P873">
        <v>94076.21</v>
      </c>
      <c r="Q873">
        <v>0</v>
      </c>
      <c r="R873">
        <v>0</v>
      </c>
      <c r="S873">
        <v>0.047</v>
      </c>
      <c r="T873" t="s">
        <v>25</v>
      </c>
    </row>
    <row r="874" spans="1:20" ht="15">
      <c r="A874" t="s">
        <v>19</v>
      </c>
      <c r="B874" t="s">
        <v>20</v>
      </c>
      <c r="C874" t="str">
        <f t="shared" si="13"/>
        <v>31-Dec-21</v>
      </c>
      <c r="D874" t="s">
        <v>21</v>
      </c>
      <c r="E874" t="s">
        <v>22</v>
      </c>
      <c r="F874" t="str">
        <f>"6297356"</f>
        <v>6297356</v>
      </c>
      <c r="G874" t="s">
        <v>907</v>
      </c>
      <c r="I874" t="s">
        <v>856</v>
      </c>
      <c r="J874">
        <v>0.01182949</v>
      </c>
      <c r="K874">
        <v>18077</v>
      </c>
      <c r="L874">
        <v>5903530.58</v>
      </c>
      <c r="M874">
        <v>79337.36</v>
      </c>
      <c r="N874">
        <v>580.05</v>
      </c>
      <c r="O874">
        <v>10485563.85</v>
      </c>
      <c r="P874">
        <v>124038.87</v>
      </c>
      <c r="Q874">
        <v>0</v>
      </c>
      <c r="R874">
        <v>0</v>
      </c>
      <c r="S874">
        <v>0.061</v>
      </c>
      <c r="T874" t="s">
        <v>25</v>
      </c>
    </row>
    <row r="875" spans="1:20" ht="15">
      <c r="A875" t="s">
        <v>19</v>
      </c>
      <c r="B875" t="s">
        <v>20</v>
      </c>
      <c r="C875" t="str">
        <f t="shared" si="13"/>
        <v>31-Dec-21</v>
      </c>
      <c r="D875" t="s">
        <v>21</v>
      </c>
      <c r="E875" t="s">
        <v>22</v>
      </c>
      <c r="F875" t="str">
        <f>"BFN2YR2"</f>
        <v>BFN2YR2</v>
      </c>
      <c r="G875" t="s">
        <v>908</v>
      </c>
      <c r="I875" t="s">
        <v>856</v>
      </c>
      <c r="J875">
        <v>0.01182949</v>
      </c>
      <c r="K875">
        <v>1870</v>
      </c>
      <c r="L875">
        <v>2778641.41</v>
      </c>
      <c r="M875">
        <v>34137.97</v>
      </c>
      <c r="N875">
        <v>1847.9</v>
      </c>
      <c r="O875">
        <v>3455573</v>
      </c>
      <c r="P875">
        <v>40877.66</v>
      </c>
      <c r="Q875">
        <v>0</v>
      </c>
      <c r="R875">
        <v>0</v>
      </c>
      <c r="S875">
        <v>0.02</v>
      </c>
      <c r="T875" t="s">
        <v>25</v>
      </c>
    </row>
    <row r="876" spans="1:20" ht="15">
      <c r="A876" t="s">
        <v>19</v>
      </c>
      <c r="B876" t="s">
        <v>20</v>
      </c>
      <c r="C876" t="str">
        <f t="shared" si="13"/>
        <v>31-Dec-21</v>
      </c>
      <c r="D876" t="s">
        <v>21</v>
      </c>
      <c r="E876" t="s">
        <v>22</v>
      </c>
      <c r="F876" t="str">
        <f>"6602518"</f>
        <v>6602518</v>
      </c>
      <c r="G876" t="s">
        <v>909</v>
      </c>
      <c r="I876" t="s">
        <v>856</v>
      </c>
      <c r="J876">
        <v>0.01182949</v>
      </c>
      <c r="K876">
        <v>4265</v>
      </c>
      <c r="L876">
        <v>8546222.4</v>
      </c>
      <c r="M876">
        <v>105277.62</v>
      </c>
      <c r="N876">
        <v>4678.2</v>
      </c>
      <c r="O876">
        <v>19952523</v>
      </c>
      <c r="P876">
        <v>236028.16</v>
      </c>
      <c r="Q876">
        <v>0</v>
      </c>
      <c r="R876">
        <v>0</v>
      </c>
      <c r="S876">
        <v>0.117</v>
      </c>
      <c r="T876" t="s">
        <v>25</v>
      </c>
    </row>
    <row r="877" spans="1:20" ht="15">
      <c r="A877" t="s">
        <v>19</v>
      </c>
      <c r="B877" t="s">
        <v>20</v>
      </c>
      <c r="C877" t="str">
        <f t="shared" si="13"/>
        <v>31-Dec-21</v>
      </c>
      <c r="D877" t="s">
        <v>21</v>
      </c>
      <c r="E877" t="s">
        <v>22</v>
      </c>
      <c r="F877" t="str">
        <f>"6410959"</f>
        <v>6410959</v>
      </c>
      <c r="G877" t="s">
        <v>910</v>
      </c>
      <c r="I877" t="s">
        <v>856</v>
      </c>
      <c r="J877">
        <v>0.01182949</v>
      </c>
      <c r="K877">
        <v>3608</v>
      </c>
      <c r="L877">
        <v>12371087.74</v>
      </c>
      <c r="M877">
        <v>160646.13</v>
      </c>
      <c r="N877">
        <v>4907</v>
      </c>
      <c r="O877">
        <v>17704456</v>
      </c>
      <c r="P877">
        <v>209434.68</v>
      </c>
      <c r="Q877">
        <v>0</v>
      </c>
      <c r="R877">
        <v>0</v>
      </c>
      <c r="S877">
        <v>0.104</v>
      </c>
      <c r="T877" t="s">
        <v>25</v>
      </c>
    </row>
    <row r="878" spans="1:20" ht="15">
      <c r="A878" t="s">
        <v>19</v>
      </c>
      <c r="B878" t="s">
        <v>20</v>
      </c>
      <c r="C878" t="str">
        <f t="shared" si="13"/>
        <v>31-Dec-21</v>
      </c>
      <c r="D878" t="s">
        <v>21</v>
      </c>
      <c r="E878" t="s">
        <v>22</v>
      </c>
      <c r="F878" t="str">
        <f>"BMW4CV8"</f>
        <v>BMW4CV8</v>
      </c>
      <c r="G878" t="s">
        <v>911</v>
      </c>
      <c r="I878" t="s">
        <v>856</v>
      </c>
      <c r="J878">
        <v>0.01182949</v>
      </c>
      <c r="K878">
        <v>4523</v>
      </c>
      <c r="L878">
        <v>8887054.28</v>
      </c>
      <c r="M878">
        <v>123593.17</v>
      </c>
      <c r="N878">
        <v>2591.9</v>
      </c>
      <c r="O878">
        <v>11723163.7</v>
      </c>
      <c r="P878">
        <v>138679.04</v>
      </c>
      <c r="Q878">
        <v>0</v>
      </c>
      <c r="R878">
        <v>0</v>
      </c>
      <c r="S878">
        <v>0.069</v>
      </c>
      <c r="T878" t="s">
        <v>25</v>
      </c>
    </row>
    <row r="879" spans="1:20" ht="15">
      <c r="A879" t="s">
        <v>19</v>
      </c>
      <c r="B879" t="s">
        <v>20</v>
      </c>
      <c r="C879" t="str">
        <f t="shared" si="13"/>
        <v>31-Dec-21</v>
      </c>
      <c r="D879" t="s">
        <v>21</v>
      </c>
      <c r="E879" t="s">
        <v>22</v>
      </c>
      <c r="F879" t="str">
        <f>"6741035"</f>
        <v>6741035</v>
      </c>
      <c r="G879" t="s">
        <v>912</v>
      </c>
      <c r="I879" t="s">
        <v>856</v>
      </c>
      <c r="J879">
        <v>0.01182949</v>
      </c>
      <c r="K879">
        <v>7583</v>
      </c>
      <c r="L879">
        <v>3430702.09</v>
      </c>
      <c r="M879">
        <v>43099.61</v>
      </c>
      <c r="N879">
        <v>519</v>
      </c>
      <c r="O879">
        <v>3935577</v>
      </c>
      <c r="P879">
        <v>46555.87</v>
      </c>
      <c r="Q879">
        <v>0</v>
      </c>
      <c r="R879">
        <v>0</v>
      </c>
      <c r="S879">
        <v>0.023</v>
      </c>
      <c r="T879" t="s">
        <v>25</v>
      </c>
    </row>
    <row r="880" spans="1:20" ht="15">
      <c r="A880" t="s">
        <v>19</v>
      </c>
      <c r="B880" t="s">
        <v>20</v>
      </c>
      <c r="C880" t="str">
        <f t="shared" si="13"/>
        <v>31-Dec-21</v>
      </c>
      <c r="D880" t="s">
        <v>21</v>
      </c>
      <c r="E880" t="s">
        <v>22</v>
      </c>
      <c r="F880" t="str">
        <f>"BJH4V15"</f>
        <v>BJH4V15</v>
      </c>
      <c r="G880" t="s">
        <v>913</v>
      </c>
      <c r="I880" t="s">
        <v>856</v>
      </c>
      <c r="J880">
        <v>0.01182949</v>
      </c>
      <c r="K880">
        <v>12355</v>
      </c>
      <c r="L880">
        <v>4464258.24</v>
      </c>
      <c r="M880">
        <v>54560.81</v>
      </c>
      <c r="N880">
        <v>339.63</v>
      </c>
      <c r="O880">
        <v>4196128.65</v>
      </c>
      <c r="P880">
        <v>49638.06</v>
      </c>
      <c r="Q880">
        <v>0</v>
      </c>
      <c r="R880">
        <v>0</v>
      </c>
      <c r="S880">
        <v>0.025</v>
      </c>
      <c r="T880" t="s">
        <v>25</v>
      </c>
    </row>
    <row r="881" spans="1:20" ht="15">
      <c r="A881" t="s">
        <v>19</v>
      </c>
      <c r="B881" t="s">
        <v>20</v>
      </c>
      <c r="C881" t="str">
        <f t="shared" si="13"/>
        <v>31-Dec-21</v>
      </c>
      <c r="D881" t="s">
        <v>21</v>
      </c>
      <c r="E881" t="s">
        <v>22</v>
      </c>
      <c r="F881" t="str">
        <f>"B1D3ZC9"</f>
        <v>B1D3ZC9</v>
      </c>
      <c r="G881" t="s">
        <v>914</v>
      </c>
      <c r="I881" t="s">
        <v>856</v>
      </c>
      <c r="J881">
        <v>0.01182949</v>
      </c>
      <c r="K881">
        <v>19343</v>
      </c>
      <c r="L881">
        <v>3936436.73</v>
      </c>
      <c r="M881">
        <v>46657.65</v>
      </c>
      <c r="N881">
        <v>168.35</v>
      </c>
      <c r="O881">
        <v>3256394.05</v>
      </c>
      <c r="P881">
        <v>38521.48</v>
      </c>
      <c r="Q881">
        <v>0</v>
      </c>
      <c r="R881">
        <v>0</v>
      </c>
      <c r="S881">
        <v>0.019</v>
      </c>
      <c r="T881" t="s">
        <v>25</v>
      </c>
    </row>
    <row r="882" spans="1:20" ht="15">
      <c r="A882" t="s">
        <v>19</v>
      </c>
      <c r="B882" t="s">
        <v>20</v>
      </c>
      <c r="C882" t="str">
        <f t="shared" si="13"/>
        <v>31-Dec-21</v>
      </c>
      <c r="D882" t="s">
        <v>21</v>
      </c>
      <c r="E882" t="s">
        <v>22</v>
      </c>
      <c r="F882" t="str">
        <f>"BFT7KB7"</f>
        <v>BFT7KB7</v>
      </c>
      <c r="G882" t="s">
        <v>915</v>
      </c>
      <c r="I882" t="s">
        <v>856</v>
      </c>
      <c r="J882">
        <v>0.01182949</v>
      </c>
      <c r="K882">
        <v>55187</v>
      </c>
      <c r="L882">
        <v>4372536.45</v>
      </c>
      <c r="M882">
        <v>54884.98</v>
      </c>
      <c r="N882">
        <v>83</v>
      </c>
      <c r="O882">
        <v>4580521</v>
      </c>
      <c r="P882">
        <v>54185.23</v>
      </c>
      <c r="Q882">
        <v>0</v>
      </c>
      <c r="R882">
        <v>0</v>
      </c>
      <c r="S882">
        <v>0.027</v>
      </c>
      <c r="T882" t="s">
        <v>25</v>
      </c>
    </row>
    <row r="883" spans="1:20" ht="15">
      <c r="A883" t="s">
        <v>19</v>
      </c>
      <c r="B883" t="s">
        <v>20</v>
      </c>
      <c r="C883" t="str">
        <f t="shared" si="13"/>
        <v>31-Dec-21</v>
      </c>
      <c r="D883" t="s">
        <v>21</v>
      </c>
      <c r="E883" t="s">
        <v>22</v>
      </c>
      <c r="F883" t="str">
        <f>"6133405"</f>
        <v>6133405</v>
      </c>
      <c r="G883" t="s">
        <v>916</v>
      </c>
      <c r="I883" t="s">
        <v>856</v>
      </c>
      <c r="J883">
        <v>0.01182949</v>
      </c>
      <c r="K883">
        <v>59379</v>
      </c>
      <c r="L883">
        <v>7024818.66</v>
      </c>
      <c r="M883">
        <v>89110.64</v>
      </c>
      <c r="N883">
        <v>129.2</v>
      </c>
      <c r="O883">
        <v>7671766.8</v>
      </c>
      <c r="P883">
        <v>90753.09</v>
      </c>
      <c r="Q883">
        <v>237516</v>
      </c>
      <c r="R883">
        <v>2809.69</v>
      </c>
      <c r="S883">
        <v>0.046</v>
      </c>
      <c r="T883" t="s">
        <v>25</v>
      </c>
    </row>
    <row r="884" spans="1:20" ht="15">
      <c r="A884" t="s">
        <v>19</v>
      </c>
      <c r="B884" t="s">
        <v>20</v>
      </c>
      <c r="C884" t="str">
        <f t="shared" si="13"/>
        <v>31-Dec-21</v>
      </c>
      <c r="D884" t="s">
        <v>21</v>
      </c>
      <c r="E884" t="s">
        <v>22</v>
      </c>
      <c r="F884" t="str">
        <f>"B192HJ1"</f>
        <v>B192HJ1</v>
      </c>
      <c r="G884" t="s">
        <v>917</v>
      </c>
      <c r="I884" t="s">
        <v>856</v>
      </c>
      <c r="J884">
        <v>0.01182949</v>
      </c>
      <c r="K884">
        <v>75986</v>
      </c>
      <c r="L884">
        <v>913404.77</v>
      </c>
      <c r="M884">
        <v>12018.17</v>
      </c>
      <c r="N884">
        <v>45.75</v>
      </c>
      <c r="O884">
        <v>3476359.5</v>
      </c>
      <c r="P884">
        <v>41123.56</v>
      </c>
      <c r="Q884">
        <v>0</v>
      </c>
      <c r="R884">
        <v>0</v>
      </c>
      <c r="S884">
        <v>0.02</v>
      </c>
      <c r="T884" t="s">
        <v>25</v>
      </c>
    </row>
    <row r="885" spans="1:20" ht="15">
      <c r="A885" t="s">
        <v>19</v>
      </c>
      <c r="B885" t="s">
        <v>20</v>
      </c>
      <c r="C885" t="str">
        <f t="shared" si="13"/>
        <v>31-Dec-21</v>
      </c>
      <c r="D885" t="s">
        <v>21</v>
      </c>
      <c r="E885" t="s">
        <v>22</v>
      </c>
      <c r="F885" t="str">
        <f>"6117982"</f>
        <v>6117982</v>
      </c>
      <c r="G885" t="s">
        <v>918</v>
      </c>
      <c r="I885" t="s">
        <v>856</v>
      </c>
      <c r="J885">
        <v>0.01182949</v>
      </c>
      <c r="K885">
        <v>150</v>
      </c>
      <c r="L885">
        <v>256931.97</v>
      </c>
      <c r="M885">
        <v>2949.35</v>
      </c>
      <c r="N885">
        <v>1756.65</v>
      </c>
      <c r="O885">
        <v>263497.5</v>
      </c>
      <c r="P885">
        <v>3117.04</v>
      </c>
      <c r="Q885">
        <v>0</v>
      </c>
      <c r="R885">
        <v>0</v>
      </c>
      <c r="S885">
        <v>0.002</v>
      </c>
      <c r="T885" t="s">
        <v>25</v>
      </c>
    </row>
    <row r="886" spans="1:20" ht="15">
      <c r="A886" t="s">
        <v>19</v>
      </c>
      <c r="B886" t="s">
        <v>20</v>
      </c>
      <c r="C886" t="str">
        <f t="shared" si="13"/>
        <v>31-Dec-21</v>
      </c>
      <c r="D886" t="s">
        <v>21</v>
      </c>
      <c r="E886" t="s">
        <v>22</v>
      </c>
      <c r="F886" t="str">
        <f>"6698755"</f>
        <v>6698755</v>
      </c>
      <c r="G886" t="s">
        <v>919</v>
      </c>
      <c r="I886" t="s">
        <v>856</v>
      </c>
      <c r="J886">
        <v>0.01182949</v>
      </c>
      <c r="K886">
        <v>3730</v>
      </c>
      <c r="L886">
        <v>3558491.41</v>
      </c>
      <c r="M886">
        <v>50312.45</v>
      </c>
      <c r="N886">
        <v>528.55</v>
      </c>
      <c r="O886">
        <v>1971491.5</v>
      </c>
      <c r="P886">
        <v>23321.74</v>
      </c>
      <c r="Q886">
        <v>0</v>
      </c>
      <c r="R886">
        <v>0</v>
      </c>
      <c r="S886">
        <v>0.012</v>
      </c>
      <c r="T886" t="s">
        <v>25</v>
      </c>
    </row>
    <row r="887" spans="1:20" ht="15">
      <c r="A887" t="s">
        <v>19</v>
      </c>
      <c r="B887" t="s">
        <v>20</v>
      </c>
      <c r="C887" t="str">
        <f t="shared" si="13"/>
        <v>31-Dec-21</v>
      </c>
      <c r="D887" t="s">
        <v>21</v>
      </c>
      <c r="E887" t="s">
        <v>22</v>
      </c>
      <c r="F887" t="str">
        <f>"B1BDGY0"</f>
        <v>B1BDGY0</v>
      </c>
      <c r="G887" t="s">
        <v>920</v>
      </c>
      <c r="I887" t="s">
        <v>856</v>
      </c>
      <c r="J887">
        <v>0.01182949</v>
      </c>
      <c r="K887">
        <v>12482</v>
      </c>
      <c r="L887">
        <v>6340694.49</v>
      </c>
      <c r="M887">
        <v>85540.62</v>
      </c>
      <c r="N887">
        <v>968.35</v>
      </c>
      <c r="O887">
        <v>12086944.7</v>
      </c>
      <c r="P887">
        <v>142982.39</v>
      </c>
      <c r="Q887">
        <v>0</v>
      </c>
      <c r="R887">
        <v>0</v>
      </c>
      <c r="S887">
        <v>0.071</v>
      </c>
      <c r="T887" t="s">
        <v>25</v>
      </c>
    </row>
    <row r="888" spans="1:20" ht="15">
      <c r="A888" t="s">
        <v>19</v>
      </c>
      <c r="B888" t="s">
        <v>20</v>
      </c>
      <c r="C888" t="str">
        <f t="shared" si="13"/>
        <v>31-Dec-21</v>
      </c>
      <c r="D888" t="s">
        <v>21</v>
      </c>
      <c r="E888" t="s">
        <v>22</v>
      </c>
      <c r="F888" t="str">
        <f>"B1BFBC9"</f>
        <v>B1BFBC9</v>
      </c>
      <c r="G888" t="s">
        <v>921</v>
      </c>
      <c r="I888" t="s">
        <v>856</v>
      </c>
      <c r="J888">
        <v>0.01182949</v>
      </c>
      <c r="K888">
        <v>3557</v>
      </c>
      <c r="L888">
        <v>1263011.64</v>
      </c>
      <c r="M888">
        <v>16699.87</v>
      </c>
      <c r="N888">
        <v>628.3</v>
      </c>
      <c r="O888">
        <v>2234863.1</v>
      </c>
      <c r="P888">
        <v>26437.29</v>
      </c>
      <c r="Q888">
        <v>0</v>
      </c>
      <c r="R888">
        <v>0</v>
      </c>
      <c r="S888">
        <v>0.013</v>
      </c>
      <c r="T888" t="s">
        <v>25</v>
      </c>
    </row>
    <row r="889" spans="1:20" ht="15">
      <c r="A889" t="s">
        <v>19</v>
      </c>
      <c r="B889" t="s">
        <v>20</v>
      </c>
      <c r="C889" t="str">
        <f t="shared" si="13"/>
        <v>31-Dec-21</v>
      </c>
      <c r="D889" t="s">
        <v>21</v>
      </c>
      <c r="E889" t="s">
        <v>22</v>
      </c>
      <c r="F889" t="str">
        <f>"BGQL729"</f>
        <v>BGQL729</v>
      </c>
      <c r="G889" t="s">
        <v>922</v>
      </c>
      <c r="I889" t="s">
        <v>856</v>
      </c>
      <c r="J889">
        <v>0.01182949</v>
      </c>
      <c r="K889">
        <v>2800</v>
      </c>
      <c r="L889">
        <v>3082751.01</v>
      </c>
      <c r="M889">
        <v>38802.87</v>
      </c>
      <c r="N889">
        <v>1871.8</v>
      </c>
      <c r="O889">
        <v>5241040</v>
      </c>
      <c r="P889">
        <v>61998.83</v>
      </c>
      <c r="Q889">
        <v>0</v>
      </c>
      <c r="R889">
        <v>0</v>
      </c>
      <c r="S889">
        <v>0.031</v>
      </c>
      <c r="T889" t="s">
        <v>25</v>
      </c>
    </row>
    <row r="890" spans="1:20" ht="15">
      <c r="A890" t="s">
        <v>19</v>
      </c>
      <c r="B890" t="s">
        <v>20</v>
      </c>
      <c r="C890" t="str">
        <f t="shared" si="13"/>
        <v>31-Dec-21</v>
      </c>
      <c r="D890" t="s">
        <v>21</v>
      </c>
      <c r="E890" t="s">
        <v>22</v>
      </c>
      <c r="F890" t="str">
        <f>"BYQKH33"</f>
        <v>BYQKH33</v>
      </c>
      <c r="G890" t="s">
        <v>923</v>
      </c>
      <c r="I890" t="s">
        <v>856</v>
      </c>
      <c r="J890">
        <v>0.01182949</v>
      </c>
      <c r="K890">
        <v>12978</v>
      </c>
      <c r="L890">
        <v>13429266.5</v>
      </c>
      <c r="M890">
        <v>171773.16</v>
      </c>
      <c r="N890">
        <v>1622.25</v>
      </c>
      <c r="O890">
        <v>21053560.5</v>
      </c>
      <c r="P890">
        <v>249052.87</v>
      </c>
      <c r="Q890">
        <v>0</v>
      </c>
      <c r="R890">
        <v>0</v>
      </c>
      <c r="S890">
        <v>0.123</v>
      </c>
      <c r="T890" t="s">
        <v>25</v>
      </c>
    </row>
    <row r="891" spans="1:20" ht="15">
      <c r="A891" t="s">
        <v>19</v>
      </c>
      <c r="B891" t="s">
        <v>20</v>
      </c>
      <c r="C891" t="str">
        <f t="shared" si="13"/>
        <v>31-Dec-21</v>
      </c>
      <c r="D891" t="s">
        <v>21</v>
      </c>
      <c r="E891" t="s">
        <v>22</v>
      </c>
      <c r="F891" t="str">
        <f>"BGS92Z9"</f>
        <v>BGS92Z9</v>
      </c>
      <c r="G891" t="s">
        <v>924</v>
      </c>
      <c r="I891" t="s">
        <v>856</v>
      </c>
      <c r="J891">
        <v>0.01182949</v>
      </c>
      <c r="K891">
        <v>5310</v>
      </c>
      <c r="L891">
        <v>1665517.06</v>
      </c>
      <c r="M891">
        <v>19118.68</v>
      </c>
      <c r="N891">
        <v>634.85</v>
      </c>
      <c r="O891">
        <v>3371053.5</v>
      </c>
      <c r="P891">
        <v>39877.84</v>
      </c>
      <c r="Q891">
        <v>0</v>
      </c>
      <c r="R891">
        <v>0</v>
      </c>
      <c r="S891">
        <v>0.02</v>
      </c>
      <c r="T891" t="s">
        <v>25</v>
      </c>
    </row>
    <row r="892" spans="1:20" ht="15">
      <c r="A892" t="s">
        <v>19</v>
      </c>
      <c r="B892" t="s">
        <v>20</v>
      </c>
      <c r="C892" t="str">
        <f t="shared" si="13"/>
        <v>31-Dec-21</v>
      </c>
      <c r="D892" t="s">
        <v>21</v>
      </c>
      <c r="E892" t="s">
        <v>22</v>
      </c>
      <c r="F892" t="str">
        <f>"6294896"</f>
        <v>6294896</v>
      </c>
      <c r="G892" t="s">
        <v>925</v>
      </c>
      <c r="I892" t="s">
        <v>856</v>
      </c>
      <c r="J892">
        <v>0.01182949</v>
      </c>
      <c r="K892">
        <v>34153</v>
      </c>
      <c r="L892">
        <v>16994832.4</v>
      </c>
      <c r="M892">
        <v>222793.99</v>
      </c>
      <c r="N892">
        <v>1319.1</v>
      </c>
      <c r="O892">
        <v>45051222.3</v>
      </c>
      <c r="P892">
        <v>532932.96</v>
      </c>
      <c r="Q892">
        <v>0</v>
      </c>
      <c r="R892">
        <v>0</v>
      </c>
      <c r="S892">
        <v>0.264</v>
      </c>
      <c r="T892" t="s">
        <v>25</v>
      </c>
    </row>
    <row r="893" spans="1:20" ht="15">
      <c r="A893" t="s">
        <v>19</v>
      </c>
      <c r="B893" t="s">
        <v>20</v>
      </c>
      <c r="C893" t="str">
        <f t="shared" si="13"/>
        <v>31-Dec-21</v>
      </c>
      <c r="D893" t="s">
        <v>21</v>
      </c>
      <c r="E893" t="s">
        <v>22</v>
      </c>
      <c r="F893" t="str">
        <f>"BG0R3M5"</f>
        <v>BG0R3M5</v>
      </c>
      <c r="G893" t="s">
        <v>926</v>
      </c>
      <c r="I893" t="s">
        <v>856</v>
      </c>
      <c r="J893">
        <v>0.01182949</v>
      </c>
      <c r="K893">
        <v>2641</v>
      </c>
      <c r="L893">
        <v>4686799.64</v>
      </c>
      <c r="M893">
        <v>57561.47</v>
      </c>
      <c r="N893">
        <v>2446.1</v>
      </c>
      <c r="O893">
        <v>6460150.1</v>
      </c>
      <c r="P893">
        <v>76420.28</v>
      </c>
      <c r="Q893">
        <v>0</v>
      </c>
      <c r="R893">
        <v>0</v>
      </c>
      <c r="S893">
        <v>0.038</v>
      </c>
      <c r="T893" t="s">
        <v>25</v>
      </c>
    </row>
    <row r="894" spans="1:20" ht="15">
      <c r="A894" t="s">
        <v>19</v>
      </c>
      <c r="B894" t="s">
        <v>20</v>
      </c>
      <c r="C894" t="str">
        <f t="shared" si="13"/>
        <v>31-Dec-21</v>
      </c>
      <c r="D894" t="s">
        <v>21</v>
      </c>
      <c r="E894" t="s">
        <v>22</v>
      </c>
      <c r="F894" t="str">
        <f>"BF0TRG6"</f>
        <v>BF0TRG6</v>
      </c>
      <c r="G894" t="s">
        <v>927</v>
      </c>
      <c r="I894" t="s">
        <v>856</v>
      </c>
      <c r="J894">
        <v>0.01182949</v>
      </c>
      <c r="K894">
        <v>31263</v>
      </c>
      <c r="L894">
        <v>16119749.47</v>
      </c>
      <c r="M894">
        <v>199300.16</v>
      </c>
      <c r="N894">
        <v>649.55</v>
      </c>
      <c r="O894">
        <v>20306881.65</v>
      </c>
      <c r="P894">
        <v>240220.04</v>
      </c>
      <c r="Q894">
        <v>0</v>
      </c>
      <c r="R894">
        <v>0</v>
      </c>
      <c r="S894">
        <v>0.119</v>
      </c>
      <c r="T894" t="s">
        <v>25</v>
      </c>
    </row>
    <row r="895" spans="1:20" ht="15">
      <c r="A895" t="s">
        <v>19</v>
      </c>
      <c r="B895" t="s">
        <v>20</v>
      </c>
      <c r="C895" t="str">
        <f t="shared" si="13"/>
        <v>31-Dec-21</v>
      </c>
      <c r="D895" t="s">
        <v>21</v>
      </c>
      <c r="E895" t="s">
        <v>22</v>
      </c>
      <c r="F895" t="str">
        <f>"BQGZWP9"</f>
        <v>BQGZWP9</v>
      </c>
      <c r="G895" t="s">
        <v>928</v>
      </c>
      <c r="I895" t="s">
        <v>856</v>
      </c>
      <c r="J895">
        <v>0.01182949</v>
      </c>
      <c r="K895">
        <v>8304</v>
      </c>
      <c r="L895">
        <v>4507863.05</v>
      </c>
      <c r="M895">
        <v>59270.23</v>
      </c>
      <c r="N895">
        <v>1397</v>
      </c>
      <c r="O895">
        <v>11600688</v>
      </c>
      <c r="P895">
        <v>137230.22</v>
      </c>
      <c r="Q895">
        <v>0</v>
      </c>
      <c r="R895">
        <v>0</v>
      </c>
      <c r="S895">
        <v>0.068</v>
      </c>
      <c r="T895" t="s">
        <v>25</v>
      </c>
    </row>
    <row r="896" spans="1:20" ht="15">
      <c r="A896" t="s">
        <v>19</v>
      </c>
      <c r="B896" t="s">
        <v>20</v>
      </c>
      <c r="C896" t="str">
        <f t="shared" si="13"/>
        <v>31-Dec-21</v>
      </c>
      <c r="D896" t="s">
        <v>21</v>
      </c>
      <c r="E896" t="s">
        <v>22</v>
      </c>
      <c r="F896" t="str">
        <f>"6327327"</f>
        <v>6327327</v>
      </c>
      <c r="G896" t="s">
        <v>929</v>
      </c>
      <c r="I896" t="s">
        <v>856</v>
      </c>
      <c r="J896">
        <v>0.01182949</v>
      </c>
      <c r="K896">
        <v>4256</v>
      </c>
      <c r="L896">
        <v>11833958.92</v>
      </c>
      <c r="M896">
        <v>158181.15</v>
      </c>
      <c r="N896">
        <v>2462.1</v>
      </c>
      <c r="O896">
        <v>10478697.6</v>
      </c>
      <c r="P896">
        <v>123957.64</v>
      </c>
      <c r="Q896">
        <v>0</v>
      </c>
      <c r="R896">
        <v>0</v>
      </c>
      <c r="S896">
        <v>0.061</v>
      </c>
      <c r="T896" t="s">
        <v>25</v>
      </c>
    </row>
    <row r="897" spans="1:20" ht="15">
      <c r="A897" t="s">
        <v>19</v>
      </c>
      <c r="B897" t="s">
        <v>20</v>
      </c>
      <c r="C897" t="str">
        <f t="shared" si="13"/>
        <v>31-Dec-21</v>
      </c>
      <c r="D897" t="s">
        <v>21</v>
      </c>
      <c r="E897" t="s">
        <v>22</v>
      </c>
      <c r="F897" t="str">
        <f>"B0GWF48"</f>
        <v>B0GWF48</v>
      </c>
      <c r="G897" t="s">
        <v>930</v>
      </c>
      <c r="I897" t="s">
        <v>856</v>
      </c>
      <c r="J897">
        <v>0.01182949</v>
      </c>
      <c r="K897">
        <v>47997</v>
      </c>
      <c r="L897">
        <v>7846592.38</v>
      </c>
      <c r="M897">
        <v>94372.56</v>
      </c>
      <c r="N897">
        <v>475.55</v>
      </c>
      <c r="O897">
        <v>22824973.35</v>
      </c>
      <c r="P897">
        <v>270007.78</v>
      </c>
      <c r="Q897">
        <v>0</v>
      </c>
      <c r="R897">
        <v>0</v>
      </c>
      <c r="S897">
        <v>0.134</v>
      </c>
      <c r="T897" t="s">
        <v>25</v>
      </c>
    </row>
    <row r="898" spans="1:20" ht="15">
      <c r="A898" t="s">
        <v>19</v>
      </c>
      <c r="B898" t="s">
        <v>20</v>
      </c>
      <c r="C898" t="str">
        <f aca="true" t="shared" si="14" ref="C898:C961">"31-Dec-21"</f>
        <v>31-Dec-21</v>
      </c>
      <c r="D898" t="s">
        <v>21</v>
      </c>
      <c r="E898" t="s">
        <v>22</v>
      </c>
      <c r="F898" t="str">
        <f>"BFLVFD4"</f>
        <v>BFLVFD4</v>
      </c>
      <c r="G898" t="s">
        <v>931</v>
      </c>
      <c r="I898" t="s">
        <v>856</v>
      </c>
      <c r="J898">
        <v>0.01182949</v>
      </c>
      <c r="K898">
        <v>1696</v>
      </c>
      <c r="L898">
        <v>1756749</v>
      </c>
      <c r="M898">
        <v>20339.65</v>
      </c>
      <c r="N898">
        <v>1210.65</v>
      </c>
      <c r="O898">
        <v>2053262.4</v>
      </c>
      <c r="P898">
        <v>24289.05</v>
      </c>
      <c r="Q898">
        <v>0</v>
      </c>
      <c r="R898">
        <v>0</v>
      </c>
      <c r="S898">
        <v>0.012</v>
      </c>
      <c r="T898" t="s">
        <v>25</v>
      </c>
    </row>
    <row r="899" spans="1:20" ht="15">
      <c r="A899" t="s">
        <v>19</v>
      </c>
      <c r="B899" t="s">
        <v>20</v>
      </c>
      <c r="C899" t="str">
        <f t="shared" si="14"/>
        <v>31-Dec-21</v>
      </c>
      <c r="D899" t="s">
        <v>21</v>
      </c>
      <c r="E899" t="s">
        <v>22</v>
      </c>
      <c r="F899" t="str">
        <f>"6100476"</f>
        <v>6100476</v>
      </c>
      <c r="G899" t="s">
        <v>932</v>
      </c>
      <c r="I899" t="s">
        <v>856</v>
      </c>
      <c r="J899">
        <v>0.01182949</v>
      </c>
      <c r="K899">
        <v>23986</v>
      </c>
      <c r="L899">
        <v>6578085.81</v>
      </c>
      <c r="M899">
        <v>84647.17</v>
      </c>
      <c r="N899">
        <v>292.35</v>
      </c>
      <c r="O899">
        <v>7012307.1</v>
      </c>
      <c r="P899">
        <v>82952.01</v>
      </c>
      <c r="Q899">
        <v>0</v>
      </c>
      <c r="R899">
        <v>0</v>
      </c>
      <c r="S899">
        <v>0.041</v>
      </c>
      <c r="T899" t="s">
        <v>25</v>
      </c>
    </row>
    <row r="900" spans="1:20" ht="15">
      <c r="A900" t="s">
        <v>19</v>
      </c>
      <c r="B900" t="s">
        <v>20</v>
      </c>
      <c r="C900" t="str">
        <f t="shared" si="14"/>
        <v>31-Dec-21</v>
      </c>
      <c r="D900" t="s">
        <v>21</v>
      </c>
      <c r="E900" t="s">
        <v>22</v>
      </c>
      <c r="F900" t="str">
        <f>"6261674"</f>
        <v>6261674</v>
      </c>
      <c r="G900" t="s">
        <v>933</v>
      </c>
      <c r="I900" t="s">
        <v>856</v>
      </c>
      <c r="J900">
        <v>0.01182949</v>
      </c>
      <c r="K900">
        <v>28276</v>
      </c>
      <c r="L900">
        <v>39936408.24</v>
      </c>
      <c r="M900">
        <v>509158.25</v>
      </c>
      <c r="N900">
        <v>2360.15</v>
      </c>
      <c r="O900">
        <v>66735601.4</v>
      </c>
      <c r="P900">
        <v>789448.1</v>
      </c>
      <c r="Q900">
        <v>0</v>
      </c>
      <c r="R900">
        <v>0</v>
      </c>
      <c r="S900">
        <v>0.391</v>
      </c>
      <c r="T900" t="s">
        <v>25</v>
      </c>
    </row>
    <row r="901" spans="1:20" ht="15">
      <c r="A901" t="s">
        <v>19</v>
      </c>
      <c r="B901" t="s">
        <v>20</v>
      </c>
      <c r="C901" t="str">
        <f t="shared" si="14"/>
        <v>31-Dec-21</v>
      </c>
      <c r="D901" t="s">
        <v>21</v>
      </c>
      <c r="E901" t="s">
        <v>22</v>
      </c>
      <c r="F901" t="str">
        <f>"6139726"</f>
        <v>6139726</v>
      </c>
      <c r="G901" t="s">
        <v>934</v>
      </c>
      <c r="I901" t="s">
        <v>856</v>
      </c>
      <c r="J901">
        <v>0.01182949</v>
      </c>
      <c r="K901">
        <v>9977</v>
      </c>
      <c r="L901">
        <v>1678487.78</v>
      </c>
      <c r="M901">
        <v>22084.8</v>
      </c>
      <c r="N901">
        <v>316.8</v>
      </c>
      <c r="O901">
        <v>3160713.6</v>
      </c>
      <c r="P901">
        <v>37389.63</v>
      </c>
      <c r="Q901">
        <v>0</v>
      </c>
      <c r="R901">
        <v>0</v>
      </c>
      <c r="S901">
        <v>0.019</v>
      </c>
      <c r="T901" t="s">
        <v>25</v>
      </c>
    </row>
    <row r="902" spans="1:20" ht="15">
      <c r="A902" t="s">
        <v>19</v>
      </c>
      <c r="B902" t="s">
        <v>20</v>
      </c>
      <c r="C902" t="str">
        <f t="shared" si="14"/>
        <v>31-Dec-21</v>
      </c>
      <c r="D902" t="s">
        <v>21</v>
      </c>
      <c r="E902" t="s">
        <v>22</v>
      </c>
      <c r="F902" t="str">
        <f>"6889173"</f>
        <v>6889173</v>
      </c>
      <c r="G902" t="s">
        <v>935</v>
      </c>
      <c r="I902" t="s">
        <v>856</v>
      </c>
      <c r="J902">
        <v>0.01182949</v>
      </c>
      <c r="K902">
        <v>59</v>
      </c>
      <c r="L902">
        <v>2528608.7</v>
      </c>
      <c r="M902">
        <v>29276.24</v>
      </c>
      <c r="N902">
        <v>42170.95</v>
      </c>
      <c r="O902">
        <v>2488086.05</v>
      </c>
      <c r="P902">
        <v>29432.79</v>
      </c>
      <c r="Q902">
        <v>0</v>
      </c>
      <c r="R902">
        <v>0</v>
      </c>
      <c r="S902">
        <v>0.015</v>
      </c>
      <c r="T902" t="s">
        <v>25</v>
      </c>
    </row>
    <row r="903" spans="1:20" ht="15">
      <c r="A903" t="s">
        <v>19</v>
      </c>
      <c r="B903" t="s">
        <v>20</v>
      </c>
      <c r="C903" t="str">
        <f t="shared" si="14"/>
        <v>31-Dec-21</v>
      </c>
      <c r="D903" t="s">
        <v>21</v>
      </c>
      <c r="E903" t="s">
        <v>22</v>
      </c>
      <c r="F903" t="str">
        <f>"6171900"</f>
        <v>6171900</v>
      </c>
      <c r="G903" t="s">
        <v>936</v>
      </c>
      <c r="I903" t="s">
        <v>856</v>
      </c>
      <c r="J903">
        <v>0.01182949</v>
      </c>
      <c r="K903">
        <v>56274</v>
      </c>
      <c r="L903">
        <v>90486718.38</v>
      </c>
      <c r="M903">
        <v>1169766.55</v>
      </c>
      <c r="N903">
        <v>2586.45</v>
      </c>
      <c r="O903">
        <v>145549887.3</v>
      </c>
      <c r="P903">
        <v>1721780.87</v>
      </c>
      <c r="Q903">
        <v>0</v>
      </c>
      <c r="R903">
        <v>0</v>
      </c>
      <c r="S903">
        <v>0.854</v>
      </c>
      <c r="T903" t="s">
        <v>25</v>
      </c>
    </row>
    <row r="904" spans="1:20" ht="15">
      <c r="A904" t="s">
        <v>19</v>
      </c>
      <c r="B904" t="s">
        <v>20</v>
      </c>
      <c r="C904" t="str">
        <f t="shared" si="14"/>
        <v>31-Dec-21</v>
      </c>
      <c r="D904" t="s">
        <v>21</v>
      </c>
      <c r="E904" t="s">
        <v>22</v>
      </c>
      <c r="F904" t="str">
        <f>"BSZ2BY7"</f>
        <v>BSZ2BY7</v>
      </c>
      <c r="G904" t="s">
        <v>937</v>
      </c>
      <c r="I904" t="s">
        <v>856</v>
      </c>
      <c r="J904">
        <v>0.01182949</v>
      </c>
      <c r="K904">
        <v>48598</v>
      </c>
      <c r="L904">
        <v>20702049.36</v>
      </c>
      <c r="M904">
        <v>250414.46</v>
      </c>
      <c r="N904">
        <v>740.15</v>
      </c>
      <c r="O904">
        <v>35969809.7</v>
      </c>
      <c r="P904">
        <v>425504.49</v>
      </c>
      <c r="Q904">
        <v>0</v>
      </c>
      <c r="R904">
        <v>0</v>
      </c>
      <c r="S904">
        <v>0.211</v>
      </c>
      <c r="T904" t="s">
        <v>25</v>
      </c>
    </row>
    <row r="905" spans="1:20" ht="15">
      <c r="A905" t="s">
        <v>19</v>
      </c>
      <c r="B905" t="s">
        <v>20</v>
      </c>
      <c r="C905" t="str">
        <f t="shared" si="14"/>
        <v>31-Dec-21</v>
      </c>
      <c r="D905" t="s">
        <v>21</v>
      </c>
      <c r="E905" t="s">
        <v>22</v>
      </c>
      <c r="F905" t="str">
        <f>"BYXH7P9"</f>
        <v>BYXH7P9</v>
      </c>
      <c r="G905" t="s">
        <v>938</v>
      </c>
      <c r="I905" t="s">
        <v>856</v>
      </c>
      <c r="J905">
        <v>0.01182949</v>
      </c>
      <c r="K905">
        <v>6945</v>
      </c>
      <c r="L905">
        <v>7375125.56</v>
      </c>
      <c r="M905">
        <v>90408.62</v>
      </c>
      <c r="N905">
        <v>1401.25</v>
      </c>
      <c r="O905">
        <v>9731681.25</v>
      </c>
      <c r="P905">
        <v>115120.82</v>
      </c>
      <c r="Q905">
        <v>0</v>
      </c>
      <c r="R905">
        <v>0</v>
      </c>
      <c r="S905">
        <v>0.057</v>
      </c>
      <c r="T905" t="s">
        <v>25</v>
      </c>
    </row>
    <row r="906" spans="1:20" ht="15">
      <c r="A906" t="s">
        <v>19</v>
      </c>
      <c r="B906" t="s">
        <v>20</v>
      </c>
      <c r="C906" t="str">
        <f t="shared" si="14"/>
        <v>31-Dec-21</v>
      </c>
      <c r="D906" t="s">
        <v>21</v>
      </c>
      <c r="E906" t="s">
        <v>22</v>
      </c>
      <c r="F906" t="str">
        <f>"BYXL8H0"</f>
        <v>BYXL8H0</v>
      </c>
      <c r="G906" t="s">
        <v>939</v>
      </c>
      <c r="I906" t="s">
        <v>856</v>
      </c>
      <c r="J906">
        <v>0.01182949</v>
      </c>
      <c r="K906">
        <v>12665</v>
      </c>
      <c r="L906">
        <v>5006588.16</v>
      </c>
      <c r="M906">
        <v>63932.77</v>
      </c>
      <c r="N906">
        <v>560.8</v>
      </c>
      <c r="O906">
        <v>7102532</v>
      </c>
      <c r="P906">
        <v>84019.33</v>
      </c>
      <c r="Q906">
        <v>0</v>
      </c>
      <c r="R906">
        <v>0</v>
      </c>
      <c r="S906">
        <v>0.042</v>
      </c>
      <c r="T906" t="s">
        <v>25</v>
      </c>
    </row>
    <row r="907" spans="1:20" ht="15">
      <c r="A907" t="s">
        <v>19</v>
      </c>
      <c r="B907" t="s">
        <v>20</v>
      </c>
      <c r="C907" t="str">
        <f t="shared" si="14"/>
        <v>31-Dec-21</v>
      </c>
      <c r="D907" t="s">
        <v>21</v>
      </c>
      <c r="E907" t="s">
        <v>22</v>
      </c>
      <c r="F907" t="str">
        <f>"BYWZNK1"</f>
        <v>BYWZNK1</v>
      </c>
      <c r="G907" t="s">
        <v>940</v>
      </c>
      <c r="I907" t="s">
        <v>856</v>
      </c>
      <c r="J907">
        <v>0.01182949</v>
      </c>
      <c r="K907">
        <v>104011</v>
      </c>
      <c r="L907">
        <v>4627818.03</v>
      </c>
      <c r="M907">
        <v>59636.99</v>
      </c>
      <c r="N907">
        <v>48.35</v>
      </c>
      <c r="O907">
        <v>5028931.85</v>
      </c>
      <c r="P907">
        <v>59489.7</v>
      </c>
      <c r="Q907">
        <v>0</v>
      </c>
      <c r="R907">
        <v>0</v>
      </c>
      <c r="S907">
        <v>0.029</v>
      </c>
      <c r="T907" t="s">
        <v>25</v>
      </c>
    </row>
    <row r="908" spans="1:20" ht="15">
      <c r="A908" t="s">
        <v>19</v>
      </c>
      <c r="B908" t="s">
        <v>20</v>
      </c>
      <c r="C908" t="str">
        <f t="shared" si="14"/>
        <v>31-Dec-21</v>
      </c>
      <c r="D908" t="s">
        <v>21</v>
      </c>
      <c r="E908" t="s">
        <v>22</v>
      </c>
      <c r="F908" t="str">
        <f>"B0JGGP5"</f>
        <v>B0JGGP5</v>
      </c>
      <c r="G908" t="s">
        <v>941</v>
      </c>
      <c r="I908" t="s">
        <v>856</v>
      </c>
      <c r="J908">
        <v>0.01182949</v>
      </c>
      <c r="K908">
        <v>98804</v>
      </c>
      <c r="L908">
        <v>24447785.92</v>
      </c>
      <c r="M908">
        <v>325006.83</v>
      </c>
      <c r="N908">
        <v>218.05</v>
      </c>
      <c r="O908">
        <v>21544212.2</v>
      </c>
      <c r="P908">
        <v>254857.03</v>
      </c>
      <c r="Q908">
        <v>0</v>
      </c>
      <c r="R908">
        <v>0</v>
      </c>
      <c r="S908">
        <v>0.126</v>
      </c>
      <c r="T908" t="s">
        <v>25</v>
      </c>
    </row>
    <row r="909" spans="1:20" ht="15">
      <c r="A909" t="s">
        <v>19</v>
      </c>
      <c r="B909" t="s">
        <v>20</v>
      </c>
      <c r="C909" t="str">
        <f t="shared" si="14"/>
        <v>31-Dec-21</v>
      </c>
      <c r="D909" t="s">
        <v>21</v>
      </c>
      <c r="E909" t="s">
        <v>22</v>
      </c>
      <c r="F909" t="str">
        <f>"B98CG57"</f>
        <v>B98CG57</v>
      </c>
      <c r="G909" t="s">
        <v>942</v>
      </c>
      <c r="I909" t="s">
        <v>856</v>
      </c>
      <c r="J909">
        <v>0.01182949</v>
      </c>
      <c r="K909">
        <v>7838</v>
      </c>
      <c r="L909">
        <v>5047945.42</v>
      </c>
      <c r="M909">
        <v>67249.21</v>
      </c>
      <c r="N909">
        <v>218</v>
      </c>
      <c r="O909">
        <v>1708684</v>
      </c>
      <c r="P909">
        <v>20212.86</v>
      </c>
      <c r="Q909">
        <v>0</v>
      </c>
      <c r="R909">
        <v>0</v>
      </c>
      <c r="S909">
        <v>0.01</v>
      </c>
      <c r="T909" t="s">
        <v>25</v>
      </c>
    </row>
    <row r="910" spans="1:20" ht="15">
      <c r="A910" t="s">
        <v>19</v>
      </c>
      <c r="B910" t="s">
        <v>20</v>
      </c>
      <c r="C910" t="str">
        <f t="shared" si="14"/>
        <v>31-Dec-21</v>
      </c>
      <c r="D910" t="s">
        <v>21</v>
      </c>
      <c r="E910" t="s">
        <v>22</v>
      </c>
      <c r="F910" t="str">
        <f>"6253767"</f>
        <v>6253767</v>
      </c>
      <c r="G910" t="s">
        <v>943</v>
      </c>
      <c r="I910" t="s">
        <v>856</v>
      </c>
      <c r="J910">
        <v>0.01182949</v>
      </c>
      <c r="K910">
        <v>93941</v>
      </c>
      <c r="L910">
        <v>12123884.72</v>
      </c>
      <c r="M910">
        <v>155189.17</v>
      </c>
      <c r="N910">
        <v>111.5</v>
      </c>
      <c r="O910">
        <v>10474421.5</v>
      </c>
      <c r="P910">
        <v>123907.06</v>
      </c>
      <c r="Q910">
        <v>0</v>
      </c>
      <c r="R910">
        <v>0</v>
      </c>
      <c r="S910">
        <v>0.061</v>
      </c>
      <c r="T910" t="s">
        <v>25</v>
      </c>
    </row>
    <row r="911" spans="1:20" ht="15">
      <c r="A911" t="s">
        <v>19</v>
      </c>
      <c r="B911" t="s">
        <v>20</v>
      </c>
      <c r="C911" t="str">
        <f t="shared" si="14"/>
        <v>31-Dec-21</v>
      </c>
      <c r="D911" t="s">
        <v>21</v>
      </c>
      <c r="E911" t="s">
        <v>22</v>
      </c>
      <c r="F911" t="str">
        <f>"BL6C482"</f>
        <v>BL6C482</v>
      </c>
      <c r="G911" t="s">
        <v>944</v>
      </c>
      <c r="I911" t="s">
        <v>856</v>
      </c>
      <c r="J911">
        <v>0.01182949</v>
      </c>
      <c r="K911">
        <v>9025</v>
      </c>
      <c r="L911">
        <v>2579767.82</v>
      </c>
      <c r="M911">
        <v>29270.94</v>
      </c>
      <c r="N911">
        <v>831.75</v>
      </c>
      <c r="O911">
        <v>7506543.75</v>
      </c>
      <c r="P911">
        <v>88798.58</v>
      </c>
      <c r="Q911">
        <v>0</v>
      </c>
      <c r="R911">
        <v>0</v>
      </c>
      <c r="S911">
        <v>0.044</v>
      </c>
      <c r="T911" t="s">
        <v>25</v>
      </c>
    </row>
    <row r="912" spans="1:20" ht="15">
      <c r="A912" t="s">
        <v>19</v>
      </c>
      <c r="B912" t="s">
        <v>20</v>
      </c>
      <c r="C912" t="str">
        <f t="shared" si="14"/>
        <v>31-Dec-21</v>
      </c>
      <c r="D912" t="s">
        <v>21</v>
      </c>
      <c r="E912" t="s">
        <v>22</v>
      </c>
      <c r="F912" t="str">
        <f>"BD9PXD0"</f>
        <v>BD9PXD0</v>
      </c>
      <c r="G912" t="s">
        <v>945</v>
      </c>
      <c r="I912" t="s">
        <v>856</v>
      </c>
      <c r="J912">
        <v>0.01182949</v>
      </c>
      <c r="K912">
        <v>11457</v>
      </c>
      <c r="L912">
        <v>4811039.28</v>
      </c>
      <c r="M912">
        <v>55226.52</v>
      </c>
      <c r="N912">
        <v>470.4</v>
      </c>
      <c r="O912">
        <v>5389372.8</v>
      </c>
      <c r="P912">
        <v>63753.53</v>
      </c>
      <c r="Q912">
        <v>0</v>
      </c>
      <c r="R912">
        <v>0</v>
      </c>
      <c r="S912">
        <v>0.032</v>
      </c>
      <c r="T912" t="s">
        <v>25</v>
      </c>
    </row>
    <row r="913" spans="1:20" ht="15">
      <c r="A913" t="s">
        <v>19</v>
      </c>
      <c r="B913" t="s">
        <v>20</v>
      </c>
      <c r="C913" t="str">
        <f t="shared" si="14"/>
        <v>31-Dec-21</v>
      </c>
      <c r="D913" t="s">
        <v>21</v>
      </c>
      <c r="E913" t="s">
        <v>22</v>
      </c>
      <c r="F913" t="str">
        <f>"B92P9G4"</f>
        <v>B92P9G4</v>
      </c>
      <c r="G913" t="s">
        <v>946</v>
      </c>
      <c r="I913" t="s">
        <v>856</v>
      </c>
      <c r="J913">
        <v>0.01182949</v>
      </c>
      <c r="K913">
        <v>42297</v>
      </c>
      <c r="L913">
        <v>14971219.78</v>
      </c>
      <c r="M913">
        <v>196445.07</v>
      </c>
      <c r="N913">
        <v>248.3</v>
      </c>
      <c r="O913">
        <v>10502345.1</v>
      </c>
      <c r="P913">
        <v>124237.38</v>
      </c>
      <c r="Q913">
        <v>0</v>
      </c>
      <c r="R913">
        <v>0</v>
      </c>
      <c r="S913">
        <v>0.062</v>
      </c>
      <c r="T913" t="s">
        <v>25</v>
      </c>
    </row>
    <row r="914" spans="1:20" ht="15">
      <c r="A914" t="s">
        <v>19</v>
      </c>
      <c r="B914" t="s">
        <v>20</v>
      </c>
      <c r="C914" t="str">
        <f t="shared" si="14"/>
        <v>31-Dec-21</v>
      </c>
      <c r="D914" t="s">
        <v>21</v>
      </c>
      <c r="E914" t="s">
        <v>22</v>
      </c>
      <c r="F914" t="str">
        <f>"B1685L0"</f>
        <v>B1685L0</v>
      </c>
      <c r="G914" t="s">
        <v>947</v>
      </c>
      <c r="I914" t="s">
        <v>856</v>
      </c>
      <c r="J914">
        <v>0.01182949</v>
      </c>
      <c r="K914">
        <v>2639</v>
      </c>
      <c r="L914">
        <v>6360237.01</v>
      </c>
      <c r="M914">
        <v>78653.45</v>
      </c>
      <c r="N914">
        <v>5576.7</v>
      </c>
      <c r="O914">
        <v>14716911.3</v>
      </c>
      <c r="P914">
        <v>174093.55</v>
      </c>
      <c r="Q914">
        <v>0</v>
      </c>
      <c r="R914">
        <v>0</v>
      </c>
      <c r="S914">
        <v>0.086</v>
      </c>
      <c r="T914" t="s">
        <v>25</v>
      </c>
    </row>
    <row r="915" spans="1:20" ht="15">
      <c r="A915" t="s">
        <v>19</v>
      </c>
      <c r="B915" t="s">
        <v>20</v>
      </c>
      <c r="C915" t="str">
        <f t="shared" si="14"/>
        <v>31-Dec-21</v>
      </c>
      <c r="D915" t="s">
        <v>21</v>
      </c>
      <c r="E915" t="s">
        <v>22</v>
      </c>
      <c r="F915" t="str">
        <f>"6205122"</f>
        <v>6205122</v>
      </c>
      <c r="G915" t="s">
        <v>948</v>
      </c>
      <c r="I915" t="s">
        <v>856</v>
      </c>
      <c r="J915">
        <v>0.01182949</v>
      </c>
      <c r="K915">
        <v>116034</v>
      </c>
      <c r="L915">
        <v>80410610.36</v>
      </c>
      <c r="M915">
        <v>1020801</v>
      </c>
      <c r="N915">
        <v>1887.75</v>
      </c>
      <c r="O915">
        <v>219043183.5</v>
      </c>
      <c r="P915">
        <v>2591169.05</v>
      </c>
      <c r="Q915">
        <v>0</v>
      </c>
      <c r="R915">
        <v>0</v>
      </c>
      <c r="S915">
        <v>1.284</v>
      </c>
      <c r="T915" t="s">
        <v>25</v>
      </c>
    </row>
    <row r="916" spans="1:20" ht="15">
      <c r="A916" t="s">
        <v>19</v>
      </c>
      <c r="B916" t="s">
        <v>20</v>
      </c>
      <c r="C916" t="str">
        <f t="shared" si="14"/>
        <v>31-Dec-21</v>
      </c>
      <c r="D916" t="s">
        <v>21</v>
      </c>
      <c r="E916" t="s">
        <v>22</v>
      </c>
      <c r="F916" t="str">
        <f>"BYYZ7D0"</f>
        <v>BYYZ7D0</v>
      </c>
      <c r="G916" t="s">
        <v>949</v>
      </c>
      <c r="I916" t="s">
        <v>856</v>
      </c>
      <c r="J916">
        <v>0.01182949</v>
      </c>
      <c r="K916">
        <v>3353</v>
      </c>
      <c r="L916">
        <v>4737438.12</v>
      </c>
      <c r="M916">
        <v>58793.6</v>
      </c>
      <c r="N916">
        <v>2017.55</v>
      </c>
      <c r="O916">
        <v>6764845.15</v>
      </c>
      <c r="P916">
        <v>80024.67</v>
      </c>
      <c r="Q916">
        <v>0</v>
      </c>
      <c r="R916">
        <v>0</v>
      </c>
      <c r="S916">
        <v>0.04</v>
      </c>
      <c r="T916" t="s">
        <v>25</v>
      </c>
    </row>
    <row r="917" spans="1:20" ht="15">
      <c r="A917" t="s">
        <v>19</v>
      </c>
      <c r="B917" t="s">
        <v>20</v>
      </c>
      <c r="C917" t="str">
        <f t="shared" si="14"/>
        <v>31-Dec-21</v>
      </c>
      <c r="D917" t="s">
        <v>21</v>
      </c>
      <c r="E917" t="s">
        <v>22</v>
      </c>
      <c r="F917" t="str">
        <f>"6433473"</f>
        <v>6433473</v>
      </c>
      <c r="G917" t="s">
        <v>950</v>
      </c>
      <c r="I917" t="s">
        <v>856</v>
      </c>
      <c r="J917">
        <v>0.01182949</v>
      </c>
      <c r="K917">
        <v>2774</v>
      </c>
      <c r="L917">
        <v>5776051.95</v>
      </c>
      <c r="M917">
        <v>65537.63</v>
      </c>
      <c r="N917">
        <v>2166.8</v>
      </c>
      <c r="O917">
        <v>6010703.2</v>
      </c>
      <c r="P917">
        <v>71103.55</v>
      </c>
      <c r="Q917">
        <v>0</v>
      </c>
      <c r="R917">
        <v>0</v>
      </c>
      <c r="S917">
        <v>0.035</v>
      </c>
      <c r="T917" t="s">
        <v>25</v>
      </c>
    </row>
    <row r="918" spans="1:20" ht="15">
      <c r="A918" t="s">
        <v>19</v>
      </c>
      <c r="B918" t="s">
        <v>20</v>
      </c>
      <c r="C918" t="str">
        <f t="shared" si="14"/>
        <v>31-Dec-21</v>
      </c>
      <c r="D918" t="s">
        <v>21</v>
      </c>
      <c r="E918" t="s">
        <v>22</v>
      </c>
      <c r="F918" t="str">
        <f>"B4X3ST8"</f>
        <v>B4X3ST8</v>
      </c>
      <c r="G918" t="s">
        <v>951</v>
      </c>
      <c r="I918" t="s">
        <v>856</v>
      </c>
      <c r="J918">
        <v>0.01182949</v>
      </c>
      <c r="K918">
        <v>11965</v>
      </c>
      <c r="L918">
        <v>811714.29</v>
      </c>
      <c r="M918">
        <v>10680.18</v>
      </c>
      <c r="N918">
        <v>300.5</v>
      </c>
      <c r="O918">
        <v>3595482.5</v>
      </c>
      <c r="P918">
        <v>42532.72</v>
      </c>
      <c r="Q918">
        <v>0</v>
      </c>
      <c r="R918">
        <v>0</v>
      </c>
      <c r="S918">
        <v>0.021</v>
      </c>
      <c r="T918" t="s">
        <v>25</v>
      </c>
    </row>
    <row r="919" spans="1:20" ht="15">
      <c r="A919" t="s">
        <v>19</v>
      </c>
      <c r="B919" t="s">
        <v>20</v>
      </c>
      <c r="C919" t="str">
        <f t="shared" si="14"/>
        <v>31-Dec-21</v>
      </c>
      <c r="D919" t="s">
        <v>21</v>
      </c>
      <c r="E919" t="s">
        <v>22</v>
      </c>
      <c r="F919" t="str">
        <f>"BZBYJJ7"</f>
        <v>BZBYJJ7</v>
      </c>
      <c r="G919" t="s">
        <v>952</v>
      </c>
      <c r="I919" t="s">
        <v>856</v>
      </c>
      <c r="J919">
        <v>0.01182949</v>
      </c>
      <c r="K919">
        <v>33702</v>
      </c>
      <c r="L919">
        <v>4607381.36</v>
      </c>
      <c r="M919">
        <v>61308.37</v>
      </c>
      <c r="N919">
        <v>655.95</v>
      </c>
      <c r="O919">
        <v>22106826.9</v>
      </c>
      <c r="P919">
        <v>261512.48</v>
      </c>
      <c r="Q919">
        <v>0</v>
      </c>
      <c r="R919">
        <v>0</v>
      </c>
      <c r="S919">
        <v>0.13</v>
      </c>
      <c r="T919" t="s">
        <v>25</v>
      </c>
    </row>
    <row r="920" spans="1:20" ht="15">
      <c r="A920" t="s">
        <v>19</v>
      </c>
      <c r="B920" t="s">
        <v>20</v>
      </c>
      <c r="C920" t="str">
        <f t="shared" si="14"/>
        <v>31-Dec-21</v>
      </c>
      <c r="D920" t="s">
        <v>21</v>
      </c>
      <c r="E920" t="s">
        <v>22</v>
      </c>
      <c r="F920" t="str">
        <f>"6726816"</f>
        <v>6726816</v>
      </c>
      <c r="G920" t="s">
        <v>953</v>
      </c>
      <c r="I920" t="s">
        <v>856</v>
      </c>
      <c r="J920">
        <v>0.01182949</v>
      </c>
      <c r="K920">
        <v>13622</v>
      </c>
      <c r="L920">
        <v>3285768.22</v>
      </c>
      <c r="M920">
        <v>40080.61</v>
      </c>
      <c r="N920">
        <v>377.25</v>
      </c>
      <c r="O920">
        <v>5138899.5</v>
      </c>
      <c r="P920">
        <v>60790.56</v>
      </c>
      <c r="Q920">
        <v>0</v>
      </c>
      <c r="R920">
        <v>0</v>
      </c>
      <c r="S920">
        <v>0.03</v>
      </c>
      <c r="T920" t="s">
        <v>25</v>
      </c>
    </row>
    <row r="921" spans="1:20" ht="15">
      <c r="A921" t="s">
        <v>19</v>
      </c>
      <c r="B921" t="s">
        <v>20</v>
      </c>
      <c r="C921" t="str">
        <f t="shared" si="14"/>
        <v>31-Dec-21</v>
      </c>
      <c r="D921" t="s">
        <v>21</v>
      </c>
      <c r="E921" t="s">
        <v>22</v>
      </c>
      <c r="F921" t="str">
        <f>"B3PRM66"</f>
        <v>B3PRM66</v>
      </c>
      <c r="G921" t="s">
        <v>954</v>
      </c>
      <c r="I921" t="s">
        <v>856</v>
      </c>
      <c r="J921">
        <v>0.01182949</v>
      </c>
      <c r="K921">
        <v>2557</v>
      </c>
      <c r="L921">
        <v>4547063.15</v>
      </c>
      <c r="M921">
        <v>57302.32</v>
      </c>
      <c r="N921">
        <v>3591.1</v>
      </c>
      <c r="O921">
        <v>9182442.7</v>
      </c>
      <c r="P921">
        <v>108623.61</v>
      </c>
      <c r="Q921">
        <v>0</v>
      </c>
      <c r="R921">
        <v>0</v>
      </c>
      <c r="S921">
        <v>0.054</v>
      </c>
      <c r="T921" t="s">
        <v>25</v>
      </c>
    </row>
    <row r="922" spans="1:20" ht="15">
      <c r="A922" t="s">
        <v>19</v>
      </c>
      <c r="B922" t="s">
        <v>20</v>
      </c>
      <c r="C922" t="str">
        <f t="shared" si="14"/>
        <v>31-Dec-21</v>
      </c>
      <c r="D922" t="s">
        <v>21</v>
      </c>
      <c r="E922" t="s">
        <v>22</v>
      </c>
      <c r="F922" t="str">
        <f>"BWGW724"</f>
        <v>BWGW724</v>
      </c>
      <c r="G922" t="s">
        <v>955</v>
      </c>
      <c r="I922" t="s">
        <v>856</v>
      </c>
      <c r="J922">
        <v>0.01182949</v>
      </c>
      <c r="K922">
        <v>4699</v>
      </c>
      <c r="L922">
        <v>2372067.9</v>
      </c>
      <c r="M922">
        <v>30566.48</v>
      </c>
      <c r="N922">
        <v>591.2</v>
      </c>
      <c r="O922">
        <v>2778048.8</v>
      </c>
      <c r="P922">
        <v>32862.9</v>
      </c>
      <c r="Q922">
        <v>0</v>
      </c>
      <c r="R922">
        <v>0</v>
      </c>
      <c r="S922">
        <v>0.016</v>
      </c>
      <c r="T922" t="s">
        <v>25</v>
      </c>
    </row>
    <row r="923" spans="1:20" ht="15">
      <c r="A923" t="s">
        <v>19</v>
      </c>
      <c r="B923" t="s">
        <v>20</v>
      </c>
      <c r="C923" t="str">
        <f t="shared" si="14"/>
        <v>31-Dec-21</v>
      </c>
      <c r="D923" t="s">
        <v>21</v>
      </c>
      <c r="E923" t="s">
        <v>22</v>
      </c>
      <c r="F923" t="str">
        <f>"B5KYHQ1"</f>
        <v>B5KYHQ1</v>
      </c>
      <c r="G923" t="s">
        <v>956</v>
      </c>
      <c r="I923" t="s">
        <v>856</v>
      </c>
      <c r="J923">
        <v>0.01182949</v>
      </c>
      <c r="K923">
        <v>31653</v>
      </c>
      <c r="L923">
        <v>5568837.1</v>
      </c>
      <c r="M923">
        <v>72401.72</v>
      </c>
      <c r="N923">
        <v>77.7</v>
      </c>
      <c r="O923">
        <v>2459438.1</v>
      </c>
      <c r="P923">
        <v>29093.9</v>
      </c>
      <c r="Q923">
        <v>0</v>
      </c>
      <c r="R923">
        <v>0</v>
      </c>
      <c r="S923">
        <v>0.014</v>
      </c>
      <c r="T923" t="s">
        <v>25</v>
      </c>
    </row>
    <row r="924" spans="1:20" ht="15">
      <c r="A924" t="s">
        <v>19</v>
      </c>
      <c r="B924" t="s">
        <v>20</v>
      </c>
      <c r="C924" t="str">
        <f t="shared" si="14"/>
        <v>31-Dec-21</v>
      </c>
      <c r="D924" t="s">
        <v>21</v>
      </c>
      <c r="E924" t="s">
        <v>22</v>
      </c>
      <c r="F924" t="str">
        <f>"BD3RVD8"</f>
        <v>BD3RVD8</v>
      </c>
      <c r="G924" t="s">
        <v>957</v>
      </c>
      <c r="I924" t="s">
        <v>856</v>
      </c>
      <c r="J924">
        <v>0.01182949</v>
      </c>
      <c r="K924">
        <v>472</v>
      </c>
      <c r="L924">
        <v>2659361.63</v>
      </c>
      <c r="M924">
        <v>31561.46</v>
      </c>
      <c r="N924">
        <v>5598.95</v>
      </c>
      <c r="O924">
        <v>2642704.4</v>
      </c>
      <c r="P924">
        <v>31261.84</v>
      </c>
      <c r="Q924">
        <v>0</v>
      </c>
      <c r="R924">
        <v>0</v>
      </c>
      <c r="S924">
        <v>0.015</v>
      </c>
      <c r="T924" t="s">
        <v>25</v>
      </c>
    </row>
    <row r="925" spans="1:20" ht="15">
      <c r="A925" t="s">
        <v>19</v>
      </c>
      <c r="B925" t="s">
        <v>20</v>
      </c>
      <c r="C925" t="str">
        <f t="shared" si="14"/>
        <v>31-Dec-21</v>
      </c>
      <c r="D925" t="s">
        <v>21</v>
      </c>
      <c r="E925" t="s">
        <v>22</v>
      </c>
      <c r="F925" t="str">
        <f>"6101026"</f>
        <v>6101026</v>
      </c>
      <c r="G925" t="s">
        <v>958</v>
      </c>
      <c r="I925" t="s">
        <v>856</v>
      </c>
      <c r="J925">
        <v>0.01182949</v>
      </c>
      <c r="K925">
        <v>9931</v>
      </c>
      <c r="L925">
        <v>4638756</v>
      </c>
      <c r="M925">
        <v>62703.18</v>
      </c>
      <c r="N925">
        <v>369.65</v>
      </c>
      <c r="O925">
        <v>3670994.15</v>
      </c>
      <c r="P925">
        <v>43425.99</v>
      </c>
      <c r="Q925">
        <v>0</v>
      </c>
      <c r="R925">
        <v>0</v>
      </c>
      <c r="S925">
        <v>0.022</v>
      </c>
      <c r="T925" t="s">
        <v>25</v>
      </c>
    </row>
    <row r="926" spans="1:20" ht="15">
      <c r="A926" t="s">
        <v>19</v>
      </c>
      <c r="B926" t="s">
        <v>20</v>
      </c>
      <c r="C926" t="str">
        <f t="shared" si="14"/>
        <v>31-Dec-21</v>
      </c>
      <c r="D926" t="s">
        <v>21</v>
      </c>
      <c r="E926" t="s">
        <v>22</v>
      </c>
      <c r="F926" t="str">
        <f>"BD6F8V6"</f>
        <v>BD6F8V6</v>
      </c>
      <c r="G926" t="s">
        <v>959</v>
      </c>
      <c r="I926" t="s">
        <v>856</v>
      </c>
      <c r="J926">
        <v>0.01182949</v>
      </c>
      <c r="K926">
        <v>1455</v>
      </c>
      <c r="L926">
        <v>3302952.74</v>
      </c>
      <c r="M926">
        <v>38250.32</v>
      </c>
      <c r="N926">
        <v>7332</v>
      </c>
      <c r="O926">
        <v>10668060</v>
      </c>
      <c r="P926">
        <v>126197.7</v>
      </c>
      <c r="Q926">
        <v>0</v>
      </c>
      <c r="R926">
        <v>0</v>
      </c>
      <c r="S926">
        <v>0.063</v>
      </c>
      <c r="T926" t="s">
        <v>25</v>
      </c>
    </row>
    <row r="927" spans="1:20" ht="15">
      <c r="A927" t="s">
        <v>19</v>
      </c>
      <c r="B927" t="s">
        <v>20</v>
      </c>
      <c r="C927" t="str">
        <f t="shared" si="14"/>
        <v>31-Dec-21</v>
      </c>
      <c r="D927" t="s">
        <v>21</v>
      </c>
      <c r="E927" t="s">
        <v>22</v>
      </c>
      <c r="F927" t="str">
        <f>"B0166K8"</f>
        <v>B0166K8</v>
      </c>
      <c r="G927" t="s">
        <v>960</v>
      </c>
      <c r="I927" t="s">
        <v>856</v>
      </c>
      <c r="J927">
        <v>0.01182949</v>
      </c>
      <c r="K927">
        <v>21382</v>
      </c>
      <c r="L927">
        <v>25346442.11</v>
      </c>
      <c r="M927">
        <v>307910.32</v>
      </c>
      <c r="N927">
        <v>1895.9</v>
      </c>
      <c r="O927">
        <v>40538133.8</v>
      </c>
      <c r="P927">
        <v>479545.43</v>
      </c>
      <c r="Q927">
        <v>0</v>
      </c>
      <c r="R927">
        <v>0</v>
      </c>
      <c r="S927">
        <v>0.238</v>
      </c>
      <c r="T927" t="s">
        <v>25</v>
      </c>
    </row>
    <row r="928" spans="1:20" ht="15">
      <c r="A928" t="s">
        <v>19</v>
      </c>
      <c r="B928" t="s">
        <v>20</v>
      </c>
      <c r="C928" t="str">
        <f t="shared" si="14"/>
        <v>31-Dec-21</v>
      </c>
      <c r="D928" t="s">
        <v>21</v>
      </c>
      <c r="E928" t="s">
        <v>22</v>
      </c>
      <c r="F928" t="str">
        <f>"BMZ1CH2"</f>
        <v>BMZ1CH2</v>
      </c>
      <c r="G928" t="s">
        <v>961</v>
      </c>
      <c r="I928" t="s">
        <v>856</v>
      </c>
      <c r="J928">
        <v>0.01182949</v>
      </c>
      <c r="K928">
        <v>9166</v>
      </c>
      <c r="L928">
        <v>5107087.3</v>
      </c>
      <c r="M928">
        <v>59893.59</v>
      </c>
      <c r="N928">
        <v>538.9</v>
      </c>
      <c r="O928">
        <v>4939557.4</v>
      </c>
      <c r="P928">
        <v>58432.44</v>
      </c>
      <c r="Q928">
        <v>0</v>
      </c>
      <c r="R928">
        <v>0</v>
      </c>
      <c r="S928">
        <v>0.029</v>
      </c>
      <c r="T928" t="s">
        <v>25</v>
      </c>
    </row>
    <row r="929" spans="1:20" ht="15">
      <c r="A929" t="s">
        <v>19</v>
      </c>
      <c r="B929" t="s">
        <v>20</v>
      </c>
      <c r="C929" t="str">
        <f t="shared" si="14"/>
        <v>31-Dec-21</v>
      </c>
      <c r="D929" t="s">
        <v>21</v>
      </c>
      <c r="E929" t="s">
        <v>22</v>
      </c>
      <c r="F929" t="str">
        <f>"6143761"</f>
        <v>6143761</v>
      </c>
      <c r="G929" t="s">
        <v>962</v>
      </c>
      <c r="I929" t="s">
        <v>856</v>
      </c>
      <c r="J929">
        <v>0.01182949</v>
      </c>
      <c r="K929">
        <v>7994</v>
      </c>
      <c r="L929">
        <v>13471399.64</v>
      </c>
      <c r="M929">
        <v>186554.08</v>
      </c>
      <c r="N929">
        <v>950.75</v>
      </c>
      <c r="O929">
        <v>7600295.5</v>
      </c>
      <c r="P929">
        <v>89907.62</v>
      </c>
      <c r="Q929">
        <v>0</v>
      </c>
      <c r="R929">
        <v>0</v>
      </c>
      <c r="S929">
        <v>0.045</v>
      </c>
      <c r="T929" t="s">
        <v>25</v>
      </c>
    </row>
    <row r="930" spans="1:20" ht="15">
      <c r="A930" t="s">
        <v>19</v>
      </c>
      <c r="B930" t="s">
        <v>20</v>
      </c>
      <c r="C930" t="str">
        <f t="shared" si="14"/>
        <v>31-Dec-21</v>
      </c>
      <c r="D930" t="s">
        <v>21</v>
      </c>
      <c r="E930" t="s">
        <v>22</v>
      </c>
      <c r="F930" t="str">
        <f>"6214128"</f>
        <v>6214128</v>
      </c>
      <c r="G930" t="s">
        <v>963</v>
      </c>
      <c r="I930" t="s">
        <v>856</v>
      </c>
      <c r="J930">
        <v>0.01182949</v>
      </c>
      <c r="K930">
        <v>86</v>
      </c>
      <c r="L930">
        <v>6305061</v>
      </c>
      <c r="M930">
        <v>80064.2</v>
      </c>
      <c r="N930">
        <v>73338</v>
      </c>
      <c r="O930">
        <v>6307068</v>
      </c>
      <c r="P930">
        <v>74609.4</v>
      </c>
      <c r="Q930">
        <v>0</v>
      </c>
      <c r="R930">
        <v>0</v>
      </c>
      <c r="S930">
        <v>0.037</v>
      </c>
      <c r="T930" t="s">
        <v>25</v>
      </c>
    </row>
    <row r="931" spans="1:20" ht="15">
      <c r="A931" t="s">
        <v>19</v>
      </c>
      <c r="B931" t="s">
        <v>20</v>
      </c>
      <c r="C931" t="str">
        <f t="shared" si="14"/>
        <v>31-Dec-21</v>
      </c>
      <c r="D931" t="s">
        <v>21</v>
      </c>
      <c r="E931" t="s">
        <v>22</v>
      </c>
      <c r="F931" t="str">
        <f>"B8F8822"</f>
        <v>B8F8822</v>
      </c>
      <c r="G931" t="s">
        <v>964</v>
      </c>
      <c r="I931" t="s">
        <v>856</v>
      </c>
      <c r="J931">
        <v>0.01182949</v>
      </c>
      <c r="K931">
        <v>13839</v>
      </c>
      <c r="L931">
        <v>2437032.73</v>
      </c>
      <c r="M931">
        <v>28922.85</v>
      </c>
      <c r="N931">
        <v>148.95</v>
      </c>
      <c r="O931">
        <v>2061319.05</v>
      </c>
      <c r="P931">
        <v>24384.35</v>
      </c>
      <c r="Q931">
        <v>0</v>
      </c>
      <c r="R931">
        <v>0</v>
      </c>
      <c r="S931">
        <v>0.012</v>
      </c>
      <c r="T931" t="s">
        <v>25</v>
      </c>
    </row>
    <row r="932" spans="1:20" ht="15">
      <c r="A932" t="s">
        <v>19</v>
      </c>
      <c r="B932" t="s">
        <v>20</v>
      </c>
      <c r="C932" t="str">
        <f t="shared" si="14"/>
        <v>31-Dec-21</v>
      </c>
      <c r="D932" t="s">
        <v>21</v>
      </c>
      <c r="E932" t="s">
        <v>22</v>
      </c>
      <c r="F932" t="str">
        <f>"6100186"</f>
        <v>6100186</v>
      </c>
      <c r="G932" t="s">
        <v>965</v>
      </c>
      <c r="I932" t="s">
        <v>856</v>
      </c>
      <c r="J932">
        <v>0.01182949</v>
      </c>
      <c r="K932">
        <v>28722</v>
      </c>
      <c r="L932">
        <v>19914979.31</v>
      </c>
      <c r="M932">
        <v>252709.58</v>
      </c>
      <c r="N932">
        <v>837.15</v>
      </c>
      <c r="O932">
        <v>24044622.3</v>
      </c>
      <c r="P932">
        <v>284435.61</v>
      </c>
      <c r="Q932">
        <v>0</v>
      </c>
      <c r="R932">
        <v>0</v>
      </c>
      <c r="S932">
        <v>0.141</v>
      </c>
      <c r="T932" t="s">
        <v>25</v>
      </c>
    </row>
    <row r="933" spans="1:20" ht="15">
      <c r="A933" t="s">
        <v>19</v>
      </c>
      <c r="B933" t="s">
        <v>20</v>
      </c>
      <c r="C933" t="str">
        <f t="shared" si="14"/>
        <v>31-Dec-21</v>
      </c>
      <c r="D933" t="s">
        <v>21</v>
      </c>
      <c r="E933" t="s">
        <v>22</v>
      </c>
      <c r="F933" t="str">
        <f>"B1S34K5"</f>
        <v>B1S34K5</v>
      </c>
      <c r="G933" t="s">
        <v>966</v>
      </c>
      <c r="I933" t="s">
        <v>856</v>
      </c>
      <c r="J933">
        <v>0.01182949</v>
      </c>
      <c r="K933">
        <v>18090</v>
      </c>
      <c r="L933">
        <v>4520868.68</v>
      </c>
      <c r="M933">
        <v>60911.37</v>
      </c>
      <c r="N933">
        <v>512.65</v>
      </c>
      <c r="O933">
        <v>9273838.5</v>
      </c>
      <c r="P933">
        <v>109704.78</v>
      </c>
      <c r="Q933">
        <v>0</v>
      </c>
      <c r="R933">
        <v>0</v>
      </c>
      <c r="S933">
        <v>0.054</v>
      </c>
      <c r="T933" t="s">
        <v>25</v>
      </c>
    </row>
    <row r="934" spans="1:20" ht="15">
      <c r="A934" t="s">
        <v>19</v>
      </c>
      <c r="B934" t="s">
        <v>20</v>
      </c>
      <c r="C934" t="str">
        <f t="shared" si="14"/>
        <v>31-Dec-21</v>
      </c>
      <c r="D934" t="s">
        <v>21</v>
      </c>
      <c r="E934" t="s">
        <v>22</v>
      </c>
      <c r="F934" t="str">
        <f>"6633712"</f>
        <v>6633712</v>
      </c>
      <c r="G934" t="s">
        <v>967</v>
      </c>
      <c r="I934" t="s">
        <v>856</v>
      </c>
      <c r="J934">
        <v>0.01182949</v>
      </c>
      <c r="K934">
        <v>4358</v>
      </c>
      <c r="L934">
        <v>27890649.16</v>
      </c>
      <c r="M934">
        <v>367964.99</v>
      </c>
      <c r="N934">
        <v>7426.45</v>
      </c>
      <c r="O934">
        <v>32364469.1</v>
      </c>
      <c r="P934">
        <v>382855.15</v>
      </c>
      <c r="Q934">
        <v>0</v>
      </c>
      <c r="R934">
        <v>0</v>
      </c>
      <c r="S934">
        <v>0.19</v>
      </c>
      <c r="T934" t="s">
        <v>25</v>
      </c>
    </row>
    <row r="935" spans="1:20" ht="15">
      <c r="A935" t="s">
        <v>19</v>
      </c>
      <c r="B935" t="s">
        <v>20</v>
      </c>
      <c r="C935" t="str">
        <f t="shared" si="14"/>
        <v>31-Dec-21</v>
      </c>
      <c r="D935" t="s">
        <v>21</v>
      </c>
      <c r="E935" t="s">
        <v>22</v>
      </c>
      <c r="F935" t="str">
        <f>"B1TJG95"</f>
        <v>B1TJG95</v>
      </c>
      <c r="G935" t="s">
        <v>968</v>
      </c>
      <c r="I935" t="s">
        <v>856</v>
      </c>
      <c r="J935">
        <v>0.01182949</v>
      </c>
      <c r="K935">
        <v>4542</v>
      </c>
      <c r="L935">
        <v>4922604.72</v>
      </c>
      <c r="M935">
        <v>57073.14</v>
      </c>
      <c r="N935">
        <v>980.35</v>
      </c>
      <c r="O935">
        <v>4452749.7</v>
      </c>
      <c r="P935">
        <v>52673.76</v>
      </c>
      <c r="Q935">
        <v>0</v>
      </c>
      <c r="R935">
        <v>0</v>
      </c>
      <c r="S935">
        <v>0.026</v>
      </c>
      <c r="T935" t="s">
        <v>25</v>
      </c>
    </row>
    <row r="936" spans="1:20" ht="15">
      <c r="A936" t="s">
        <v>19</v>
      </c>
      <c r="B936" t="s">
        <v>20</v>
      </c>
      <c r="C936" t="str">
        <f t="shared" si="14"/>
        <v>31-Dec-21</v>
      </c>
      <c r="D936" t="s">
        <v>21</v>
      </c>
      <c r="E936" t="s">
        <v>22</v>
      </c>
      <c r="F936" t="str">
        <f>"B1LHCW2"</f>
        <v>B1LHCW2</v>
      </c>
      <c r="G936" t="s">
        <v>969</v>
      </c>
      <c r="I936" t="s">
        <v>856</v>
      </c>
      <c r="J936">
        <v>0.01182949</v>
      </c>
      <c r="K936">
        <v>1630</v>
      </c>
      <c r="L936">
        <v>3247084.77</v>
      </c>
      <c r="M936">
        <v>37594.76</v>
      </c>
      <c r="N936">
        <v>4780</v>
      </c>
      <c r="O936">
        <v>7791400</v>
      </c>
      <c r="P936">
        <v>92168.29</v>
      </c>
      <c r="Q936">
        <v>0</v>
      </c>
      <c r="R936">
        <v>0</v>
      </c>
      <c r="S936">
        <v>0.046</v>
      </c>
      <c r="T936" t="s">
        <v>25</v>
      </c>
    </row>
    <row r="937" spans="1:20" ht="15">
      <c r="A937" t="s">
        <v>19</v>
      </c>
      <c r="B937" t="s">
        <v>20</v>
      </c>
      <c r="C937" t="str">
        <f t="shared" si="14"/>
        <v>31-Dec-21</v>
      </c>
      <c r="D937" t="s">
        <v>21</v>
      </c>
      <c r="E937" t="s">
        <v>22</v>
      </c>
      <c r="F937" t="str">
        <f>"6743990"</f>
        <v>6743990</v>
      </c>
      <c r="G937" t="s">
        <v>970</v>
      </c>
      <c r="I937" t="s">
        <v>856</v>
      </c>
      <c r="J937">
        <v>0.01182949</v>
      </c>
      <c r="K937">
        <v>40757</v>
      </c>
      <c r="L937">
        <v>5849572.81</v>
      </c>
      <c r="M937">
        <v>75910.38</v>
      </c>
      <c r="N937">
        <v>223.3</v>
      </c>
      <c r="O937">
        <v>9101038.1</v>
      </c>
      <c r="P937">
        <v>107660.64</v>
      </c>
      <c r="Q937">
        <v>0</v>
      </c>
      <c r="R937">
        <v>0</v>
      </c>
      <c r="S937">
        <v>0.053</v>
      </c>
      <c r="T937" t="s">
        <v>25</v>
      </c>
    </row>
    <row r="938" spans="1:20" ht="15">
      <c r="A938" t="s">
        <v>19</v>
      </c>
      <c r="B938" t="s">
        <v>20</v>
      </c>
      <c r="C938" t="str">
        <f t="shared" si="14"/>
        <v>31-Dec-21</v>
      </c>
      <c r="D938" t="s">
        <v>21</v>
      </c>
      <c r="E938" t="s">
        <v>22</v>
      </c>
      <c r="F938" t="str">
        <f>"6151593"</f>
        <v>6151593</v>
      </c>
      <c r="G938" t="s">
        <v>971</v>
      </c>
      <c r="I938" t="s">
        <v>856</v>
      </c>
      <c r="J938">
        <v>0.01182949</v>
      </c>
      <c r="K938">
        <v>3253</v>
      </c>
      <c r="L938">
        <v>2915434.25</v>
      </c>
      <c r="M938">
        <v>35402.38</v>
      </c>
      <c r="N938">
        <v>3396.7</v>
      </c>
      <c r="O938">
        <v>11049465.1</v>
      </c>
      <c r="P938">
        <v>130709.53</v>
      </c>
      <c r="Q938">
        <v>0</v>
      </c>
      <c r="R938">
        <v>0</v>
      </c>
      <c r="S938">
        <v>0.065</v>
      </c>
      <c r="T938" t="s">
        <v>25</v>
      </c>
    </row>
    <row r="939" spans="1:20" ht="15">
      <c r="A939" t="s">
        <v>19</v>
      </c>
      <c r="B939" t="s">
        <v>20</v>
      </c>
      <c r="C939" t="str">
        <f t="shared" si="14"/>
        <v>31-Dec-21</v>
      </c>
      <c r="D939" t="s">
        <v>21</v>
      </c>
      <c r="E939" t="s">
        <v>22</v>
      </c>
      <c r="F939" t="str">
        <f>"B40MFF3"</f>
        <v>B40MFF3</v>
      </c>
      <c r="G939" t="s">
        <v>972</v>
      </c>
      <c r="I939" t="s">
        <v>856</v>
      </c>
      <c r="J939">
        <v>0.01182949</v>
      </c>
      <c r="K939">
        <v>3474</v>
      </c>
      <c r="L939">
        <v>2686423.94</v>
      </c>
      <c r="M939">
        <v>33605.29</v>
      </c>
      <c r="N939">
        <v>1495.65</v>
      </c>
      <c r="O939">
        <v>5195888.1</v>
      </c>
      <c r="P939">
        <v>61464.7</v>
      </c>
      <c r="Q939">
        <v>0</v>
      </c>
      <c r="R939">
        <v>0</v>
      </c>
      <c r="S939">
        <v>0.03</v>
      </c>
      <c r="T939" t="s">
        <v>25</v>
      </c>
    </row>
    <row r="940" spans="1:20" ht="15">
      <c r="A940" t="s">
        <v>19</v>
      </c>
      <c r="B940" t="s">
        <v>20</v>
      </c>
      <c r="C940" t="str">
        <f t="shared" si="14"/>
        <v>31-Dec-21</v>
      </c>
      <c r="D940" t="s">
        <v>21</v>
      </c>
      <c r="E940" t="s">
        <v>22</v>
      </c>
      <c r="F940" t="str">
        <f>"B233LP1"</f>
        <v>B233LP1</v>
      </c>
      <c r="G940" t="s">
        <v>973</v>
      </c>
      <c r="I940" t="s">
        <v>856</v>
      </c>
      <c r="J940">
        <v>0.01182949</v>
      </c>
      <c r="K940">
        <v>62205</v>
      </c>
      <c r="L940">
        <v>1336594.48</v>
      </c>
      <c r="M940">
        <v>17586.32</v>
      </c>
      <c r="N940">
        <v>30.95</v>
      </c>
      <c r="O940">
        <v>1925244.75</v>
      </c>
      <c r="P940">
        <v>22774.66</v>
      </c>
      <c r="Q940">
        <v>0</v>
      </c>
      <c r="R940">
        <v>0</v>
      </c>
      <c r="S940">
        <v>0.011</v>
      </c>
      <c r="T940" t="s">
        <v>25</v>
      </c>
    </row>
    <row r="941" spans="1:20" ht="15">
      <c r="A941" t="s">
        <v>19</v>
      </c>
      <c r="B941" t="s">
        <v>20</v>
      </c>
      <c r="C941" t="str">
        <f t="shared" si="14"/>
        <v>31-Dec-21</v>
      </c>
      <c r="D941" t="s">
        <v>21</v>
      </c>
      <c r="E941" t="s">
        <v>22</v>
      </c>
      <c r="F941" t="str">
        <f>"6148119"</f>
        <v>6148119</v>
      </c>
      <c r="G941" t="s">
        <v>974</v>
      </c>
      <c r="I941" t="s">
        <v>856</v>
      </c>
      <c r="J941">
        <v>0.01182949</v>
      </c>
      <c r="K941">
        <v>26695</v>
      </c>
      <c r="L941">
        <v>2685428.77</v>
      </c>
      <c r="M941">
        <v>35423.47</v>
      </c>
      <c r="N941">
        <v>133.3</v>
      </c>
      <c r="O941">
        <v>3558443.5</v>
      </c>
      <c r="P941">
        <v>42094.57</v>
      </c>
      <c r="Q941">
        <v>240521.95</v>
      </c>
      <c r="R941">
        <v>2845.25</v>
      </c>
      <c r="S941">
        <v>0.022</v>
      </c>
      <c r="T941" t="s">
        <v>25</v>
      </c>
    </row>
    <row r="942" spans="1:20" ht="15">
      <c r="A942" t="s">
        <v>19</v>
      </c>
      <c r="B942" t="s">
        <v>20</v>
      </c>
      <c r="C942" t="str">
        <f t="shared" si="14"/>
        <v>31-Dec-21</v>
      </c>
      <c r="D942" t="s">
        <v>21</v>
      </c>
      <c r="E942" t="s">
        <v>22</v>
      </c>
      <c r="F942" t="str">
        <f>"B037HF1"</f>
        <v>B037HF1</v>
      </c>
      <c r="G942" t="s">
        <v>975</v>
      </c>
      <c r="I942" t="s">
        <v>856</v>
      </c>
      <c r="J942">
        <v>0.01182949</v>
      </c>
      <c r="K942">
        <v>146447</v>
      </c>
      <c r="L942">
        <v>15483242.6</v>
      </c>
      <c r="M942">
        <v>197954.1</v>
      </c>
      <c r="N942">
        <v>124.4</v>
      </c>
      <c r="O942">
        <v>18218006.8</v>
      </c>
      <c r="P942">
        <v>215509.72</v>
      </c>
      <c r="Q942">
        <v>0</v>
      </c>
      <c r="R942">
        <v>0</v>
      </c>
      <c r="S942">
        <v>0.107</v>
      </c>
      <c r="T942" t="s">
        <v>25</v>
      </c>
    </row>
    <row r="943" spans="1:20" ht="15">
      <c r="A943" t="s">
        <v>19</v>
      </c>
      <c r="B943" t="s">
        <v>20</v>
      </c>
      <c r="C943" t="str">
        <f t="shared" si="14"/>
        <v>31-Dec-21</v>
      </c>
      <c r="D943" t="s">
        <v>21</v>
      </c>
      <c r="E943" t="s">
        <v>22</v>
      </c>
      <c r="F943" t="str">
        <f>"6128605"</f>
        <v>6128605</v>
      </c>
      <c r="G943" t="s">
        <v>976</v>
      </c>
      <c r="I943" t="s">
        <v>856</v>
      </c>
      <c r="J943">
        <v>0.01182949</v>
      </c>
      <c r="K943">
        <v>1024</v>
      </c>
      <c r="L943">
        <v>10516751.12</v>
      </c>
      <c r="M943">
        <v>131323.22</v>
      </c>
      <c r="N943">
        <v>19705.7</v>
      </c>
      <c r="O943">
        <v>20178636.8</v>
      </c>
      <c r="P943">
        <v>238702.97</v>
      </c>
      <c r="Q943">
        <v>0</v>
      </c>
      <c r="R943">
        <v>0</v>
      </c>
      <c r="S943">
        <v>0.118</v>
      </c>
      <c r="T943" t="s">
        <v>25</v>
      </c>
    </row>
    <row r="944" spans="1:20" ht="15">
      <c r="A944" t="s">
        <v>19</v>
      </c>
      <c r="B944" t="s">
        <v>20</v>
      </c>
      <c r="C944" t="str">
        <f t="shared" si="14"/>
        <v>31-Dec-21</v>
      </c>
      <c r="D944" t="s">
        <v>21</v>
      </c>
      <c r="E944" t="s">
        <v>22</v>
      </c>
      <c r="F944" t="str">
        <f>"BF29PR1"</f>
        <v>BF29PR1</v>
      </c>
      <c r="G944" t="s">
        <v>977</v>
      </c>
      <c r="I944" t="s">
        <v>856</v>
      </c>
      <c r="J944">
        <v>0.01182949</v>
      </c>
      <c r="K944">
        <v>7540</v>
      </c>
      <c r="L944">
        <v>2827376.52</v>
      </c>
      <c r="M944">
        <v>36119.92</v>
      </c>
      <c r="N944">
        <v>351.85</v>
      </c>
      <c r="O944">
        <v>2652949</v>
      </c>
      <c r="P944">
        <v>31383.03</v>
      </c>
      <c r="Q944">
        <v>0</v>
      </c>
      <c r="R944">
        <v>0</v>
      </c>
      <c r="S944">
        <v>0.016</v>
      </c>
      <c r="T944" t="s">
        <v>25</v>
      </c>
    </row>
    <row r="945" spans="1:20" ht="15">
      <c r="A945" t="s">
        <v>19</v>
      </c>
      <c r="B945" t="s">
        <v>20</v>
      </c>
      <c r="C945" t="str">
        <f t="shared" si="14"/>
        <v>31-Dec-21</v>
      </c>
      <c r="D945" t="s">
        <v>21</v>
      </c>
      <c r="E945" t="s">
        <v>22</v>
      </c>
      <c r="F945" t="str">
        <f>"B4MXNL6"</f>
        <v>B4MXNL6</v>
      </c>
      <c r="G945" t="s">
        <v>978</v>
      </c>
      <c r="I945" t="s">
        <v>856</v>
      </c>
      <c r="J945">
        <v>0.01182949</v>
      </c>
      <c r="K945">
        <v>3906</v>
      </c>
      <c r="L945">
        <v>2009056.01</v>
      </c>
      <c r="M945">
        <v>25675.4</v>
      </c>
      <c r="N945">
        <v>861.8</v>
      </c>
      <c r="O945">
        <v>3366190.8</v>
      </c>
      <c r="P945">
        <v>39820.32</v>
      </c>
      <c r="Q945">
        <v>0</v>
      </c>
      <c r="R945">
        <v>0</v>
      </c>
      <c r="S945">
        <v>0.02</v>
      </c>
      <c r="T945" t="s">
        <v>25</v>
      </c>
    </row>
    <row r="946" spans="1:20" ht="15">
      <c r="A946" t="s">
        <v>19</v>
      </c>
      <c r="B946" t="s">
        <v>20</v>
      </c>
      <c r="C946" t="str">
        <f t="shared" si="14"/>
        <v>31-Dec-21</v>
      </c>
      <c r="D946" t="s">
        <v>21</v>
      </c>
      <c r="E946" t="s">
        <v>22</v>
      </c>
      <c r="F946" t="str">
        <f>"6139362"</f>
        <v>6139362</v>
      </c>
      <c r="G946" t="s">
        <v>979</v>
      </c>
      <c r="I946" t="s">
        <v>856</v>
      </c>
      <c r="J946">
        <v>0.01182949</v>
      </c>
      <c r="K946">
        <v>103764</v>
      </c>
      <c r="L946">
        <v>16776471.07</v>
      </c>
      <c r="M946">
        <v>231166.64</v>
      </c>
      <c r="N946">
        <v>142.4</v>
      </c>
      <c r="O946">
        <v>14775993.6</v>
      </c>
      <c r="P946">
        <v>174792.46</v>
      </c>
      <c r="Q946">
        <v>0</v>
      </c>
      <c r="R946">
        <v>0</v>
      </c>
      <c r="S946">
        <v>0.087</v>
      </c>
      <c r="T946" t="s">
        <v>25</v>
      </c>
    </row>
    <row r="947" spans="1:20" ht="15">
      <c r="A947" t="s">
        <v>19</v>
      </c>
      <c r="B947" t="s">
        <v>20</v>
      </c>
      <c r="C947" t="str">
        <f t="shared" si="14"/>
        <v>31-Dec-21</v>
      </c>
      <c r="D947" t="s">
        <v>21</v>
      </c>
      <c r="E947" t="s">
        <v>22</v>
      </c>
      <c r="F947" t="str">
        <f>"B409HQ9"</f>
        <v>B409HQ9</v>
      </c>
      <c r="G947" t="s">
        <v>980</v>
      </c>
      <c r="I947" t="s">
        <v>856</v>
      </c>
      <c r="J947">
        <v>0.01182949</v>
      </c>
      <c r="K947">
        <v>11260</v>
      </c>
      <c r="L947">
        <v>1832331.16</v>
      </c>
      <c r="M947">
        <v>24109</v>
      </c>
      <c r="N947">
        <v>198.9</v>
      </c>
      <c r="O947">
        <v>2239614</v>
      </c>
      <c r="P947">
        <v>26493.49</v>
      </c>
      <c r="Q947">
        <v>0</v>
      </c>
      <c r="R947">
        <v>0</v>
      </c>
      <c r="S947">
        <v>0.013</v>
      </c>
      <c r="T947" t="s">
        <v>25</v>
      </c>
    </row>
    <row r="948" spans="1:20" ht="15">
      <c r="A948" t="s">
        <v>19</v>
      </c>
      <c r="B948" t="s">
        <v>20</v>
      </c>
      <c r="C948" t="str">
        <f t="shared" si="14"/>
        <v>31-Dec-21</v>
      </c>
      <c r="D948" t="s">
        <v>21</v>
      </c>
      <c r="E948" t="s">
        <v>22</v>
      </c>
      <c r="F948" t="str">
        <f>"6528443"</f>
        <v>6528443</v>
      </c>
      <c r="G948" t="s">
        <v>981</v>
      </c>
      <c r="I948" t="s">
        <v>856</v>
      </c>
      <c r="J948">
        <v>0.01182949</v>
      </c>
      <c r="K948">
        <v>823</v>
      </c>
      <c r="L948">
        <v>2946114.97</v>
      </c>
      <c r="M948">
        <v>39168.48</v>
      </c>
      <c r="N948">
        <v>3961.2</v>
      </c>
      <c r="O948">
        <v>3260067.6</v>
      </c>
      <c r="P948">
        <v>38564.94</v>
      </c>
      <c r="Q948">
        <v>0</v>
      </c>
      <c r="R948">
        <v>0</v>
      </c>
      <c r="S948">
        <v>0.019</v>
      </c>
      <c r="T948" t="s">
        <v>25</v>
      </c>
    </row>
    <row r="949" spans="1:20" ht="15">
      <c r="A949" t="s">
        <v>19</v>
      </c>
      <c r="B949" t="s">
        <v>20</v>
      </c>
      <c r="C949" t="str">
        <f t="shared" si="14"/>
        <v>31-Dec-21</v>
      </c>
      <c r="D949" t="s">
        <v>21</v>
      </c>
      <c r="E949" t="s">
        <v>22</v>
      </c>
      <c r="F949" t="str">
        <f>"B992PT3"</f>
        <v>B992PT3</v>
      </c>
      <c r="G949" t="s">
        <v>982</v>
      </c>
      <c r="I949" t="s">
        <v>856</v>
      </c>
      <c r="J949">
        <v>0.01182949</v>
      </c>
      <c r="K949">
        <v>2536</v>
      </c>
      <c r="L949">
        <v>5402108.67</v>
      </c>
      <c r="M949">
        <v>61145.34</v>
      </c>
      <c r="N949">
        <v>3034.2</v>
      </c>
      <c r="O949">
        <v>7694731.2</v>
      </c>
      <c r="P949">
        <v>91024.74</v>
      </c>
      <c r="Q949">
        <v>0</v>
      </c>
      <c r="R949">
        <v>0</v>
      </c>
      <c r="S949">
        <v>0.045</v>
      </c>
      <c r="T949" t="s">
        <v>25</v>
      </c>
    </row>
    <row r="950" spans="1:20" ht="15">
      <c r="A950" t="s">
        <v>19</v>
      </c>
      <c r="B950" t="s">
        <v>20</v>
      </c>
      <c r="C950" t="str">
        <f t="shared" si="14"/>
        <v>31-Dec-21</v>
      </c>
      <c r="D950" t="s">
        <v>21</v>
      </c>
      <c r="E950" t="s">
        <v>22</v>
      </c>
      <c r="F950" t="str">
        <f>"B1VJS64"</f>
        <v>B1VJS64</v>
      </c>
      <c r="G950" t="s">
        <v>983</v>
      </c>
      <c r="I950" t="s">
        <v>856</v>
      </c>
      <c r="J950">
        <v>0.01182949</v>
      </c>
      <c r="K950">
        <v>198</v>
      </c>
      <c r="L950">
        <v>5065110.03</v>
      </c>
      <c r="M950">
        <v>59989.88</v>
      </c>
      <c r="N950">
        <v>40421.55</v>
      </c>
      <c r="O950">
        <v>8003466.9</v>
      </c>
      <c r="P950">
        <v>94676.93</v>
      </c>
      <c r="Q950">
        <v>0</v>
      </c>
      <c r="R950">
        <v>0</v>
      </c>
      <c r="S950">
        <v>0.047</v>
      </c>
      <c r="T950" t="s">
        <v>25</v>
      </c>
    </row>
    <row r="951" spans="1:20" ht="15">
      <c r="A951" t="s">
        <v>19</v>
      </c>
      <c r="B951" t="s">
        <v>20</v>
      </c>
      <c r="C951" t="str">
        <f t="shared" si="14"/>
        <v>31-Dec-21</v>
      </c>
      <c r="D951" t="s">
        <v>21</v>
      </c>
      <c r="E951" t="s">
        <v>22</v>
      </c>
      <c r="F951" t="str">
        <f>"B00KT68"</f>
        <v>B00KT68</v>
      </c>
      <c r="G951" t="s">
        <v>984</v>
      </c>
      <c r="I951" t="s">
        <v>856</v>
      </c>
      <c r="J951">
        <v>0.01182949</v>
      </c>
      <c r="K951">
        <v>22355</v>
      </c>
      <c r="L951">
        <v>5061146.94</v>
      </c>
      <c r="M951">
        <v>61037.38</v>
      </c>
      <c r="N951">
        <v>216.4</v>
      </c>
      <c r="O951">
        <v>4837622</v>
      </c>
      <c r="P951">
        <v>57226.6</v>
      </c>
      <c r="Q951">
        <v>0</v>
      </c>
      <c r="R951">
        <v>0</v>
      </c>
      <c r="S951">
        <v>0.028</v>
      </c>
      <c r="T951" t="s">
        <v>25</v>
      </c>
    </row>
    <row r="952" spans="1:20" ht="15">
      <c r="A952" t="s">
        <v>19</v>
      </c>
      <c r="B952" t="s">
        <v>20</v>
      </c>
      <c r="C952" t="str">
        <f t="shared" si="14"/>
        <v>31-Dec-21</v>
      </c>
      <c r="D952" t="s">
        <v>21</v>
      </c>
      <c r="E952" t="s">
        <v>22</v>
      </c>
      <c r="F952" t="str">
        <f>"B0JJV59"</f>
        <v>B0JJV59</v>
      </c>
      <c r="G952" t="s">
        <v>985</v>
      </c>
      <c r="I952" t="s">
        <v>856</v>
      </c>
      <c r="J952">
        <v>0.01182949</v>
      </c>
      <c r="K952">
        <v>3828</v>
      </c>
      <c r="L952">
        <v>3142461.97</v>
      </c>
      <c r="M952">
        <v>39469.64</v>
      </c>
      <c r="N952">
        <v>2462.8</v>
      </c>
      <c r="O952">
        <v>9427598.4</v>
      </c>
      <c r="P952">
        <v>111523.68</v>
      </c>
      <c r="Q952">
        <v>0</v>
      </c>
      <c r="R952">
        <v>0</v>
      </c>
      <c r="S952">
        <v>0.055</v>
      </c>
      <c r="T952" t="s">
        <v>25</v>
      </c>
    </row>
    <row r="953" spans="1:20" ht="15">
      <c r="A953" t="s">
        <v>19</v>
      </c>
      <c r="B953" t="s">
        <v>20</v>
      </c>
      <c r="C953" t="str">
        <f t="shared" si="14"/>
        <v>31-Dec-21</v>
      </c>
      <c r="D953" t="s">
        <v>21</v>
      </c>
      <c r="E953" t="s">
        <v>22</v>
      </c>
      <c r="F953" t="str">
        <f>"B058J56"</f>
        <v>B058J56</v>
      </c>
      <c r="G953" t="s">
        <v>986</v>
      </c>
      <c r="I953" t="s">
        <v>856</v>
      </c>
      <c r="J953">
        <v>0.01182949</v>
      </c>
      <c r="K953">
        <v>4279</v>
      </c>
      <c r="L953">
        <v>6177135.53</v>
      </c>
      <c r="M953">
        <v>77803.65</v>
      </c>
      <c r="N953">
        <v>2643.9</v>
      </c>
      <c r="O953">
        <v>11313248.1</v>
      </c>
      <c r="P953">
        <v>133829.95</v>
      </c>
      <c r="Q953">
        <v>0</v>
      </c>
      <c r="R953">
        <v>0</v>
      </c>
      <c r="S953">
        <v>0.066</v>
      </c>
      <c r="T953" t="s">
        <v>25</v>
      </c>
    </row>
    <row r="954" spans="1:20" ht="15">
      <c r="A954" t="s">
        <v>19</v>
      </c>
      <c r="B954" t="s">
        <v>20</v>
      </c>
      <c r="C954" t="str">
        <f t="shared" si="14"/>
        <v>31-Dec-21</v>
      </c>
      <c r="D954" t="s">
        <v>21</v>
      </c>
      <c r="E954" t="s">
        <v>22</v>
      </c>
      <c r="F954" t="str">
        <f>"B1S7225"</f>
        <v>B1S7225</v>
      </c>
      <c r="G954" t="s">
        <v>987</v>
      </c>
      <c r="I954" t="s">
        <v>856</v>
      </c>
      <c r="J954">
        <v>0.01182949</v>
      </c>
      <c r="K954">
        <v>43299</v>
      </c>
      <c r="L954">
        <v>4312761.57</v>
      </c>
      <c r="M954">
        <v>57015.04</v>
      </c>
      <c r="N954">
        <v>119.75</v>
      </c>
      <c r="O954">
        <v>5185055.25</v>
      </c>
      <c r="P954">
        <v>61336.56</v>
      </c>
      <c r="Q954">
        <v>0</v>
      </c>
      <c r="R954">
        <v>0</v>
      </c>
      <c r="S954">
        <v>0.03</v>
      </c>
      <c r="T954" t="s">
        <v>25</v>
      </c>
    </row>
    <row r="955" spans="1:20" ht="15">
      <c r="A955" t="s">
        <v>19</v>
      </c>
      <c r="B955" t="s">
        <v>20</v>
      </c>
      <c r="C955" t="str">
        <f t="shared" si="14"/>
        <v>31-Dec-21</v>
      </c>
      <c r="D955" t="s">
        <v>21</v>
      </c>
      <c r="E955" t="s">
        <v>22</v>
      </c>
      <c r="F955" t="str">
        <f>"B233HS6"</f>
        <v>B233HS6</v>
      </c>
      <c r="G955" t="s">
        <v>988</v>
      </c>
      <c r="I955" t="s">
        <v>856</v>
      </c>
      <c r="J955">
        <v>0.01182949</v>
      </c>
      <c r="K955">
        <v>89194</v>
      </c>
      <c r="L955">
        <v>11338885.84</v>
      </c>
      <c r="M955">
        <v>140206.73</v>
      </c>
      <c r="N955">
        <v>204.4</v>
      </c>
      <c r="O955">
        <v>18231253.6</v>
      </c>
      <c r="P955">
        <v>215666.42</v>
      </c>
      <c r="Q955">
        <v>624358</v>
      </c>
      <c r="R955">
        <v>7385.84</v>
      </c>
      <c r="S955">
        <v>0.111</v>
      </c>
      <c r="T955" t="s">
        <v>25</v>
      </c>
    </row>
    <row r="956" spans="1:20" ht="15">
      <c r="A956" t="s">
        <v>19</v>
      </c>
      <c r="B956" t="s">
        <v>20</v>
      </c>
      <c r="C956" t="str">
        <f t="shared" si="14"/>
        <v>31-Dec-21</v>
      </c>
      <c r="D956" t="s">
        <v>21</v>
      </c>
      <c r="E956" t="s">
        <v>22</v>
      </c>
      <c r="F956" t="str">
        <f>"BTDV035"</f>
        <v>BTDV035</v>
      </c>
      <c r="G956" t="s">
        <v>989</v>
      </c>
      <c r="I956" t="s">
        <v>856</v>
      </c>
      <c r="J956">
        <v>0.01182949</v>
      </c>
      <c r="K956">
        <v>46655</v>
      </c>
      <c r="L956">
        <v>4936664.19</v>
      </c>
      <c r="M956">
        <v>64235.84</v>
      </c>
      <c r="N956">
        <v>37.3</v>
      </c>
      <c r="O956">
        <v>1740231.5</v>
      </c>
      <c r="P956">
        <v>20586.05</v>
      </c>
      <c r="Q956">
        <v>0</v>
      </c>
      <c r="R956">
        <v>0</v>
      </c>
      <c r="S956">
        <v>0.01</v>
      </c>
      <c r="T956" t="s">
        <v>25</v>
      </c>
    </row>
    <row r="957" spans="1:20" ht="15">
      <c r="A957" t="s">
        <v>19</v>
      </c>
      <c r="B957" t="s">
        <v>20</v>
      </c>
      <c r="C957" t="str">
        <f t="shared" si="14"/>
        <v>31-Dec-21</v>
      </c>
      <c r="D957" t="s">
        <v>21</v>
      </c>
      <c r="E957" t="s">
        <v>22</v>
      </c>
      <c r="F957" t="str">
        <f>"BD0FRL5"</f>
        <v>BD0FRL5</v>
      </c>
      <c r="G957" t="s">
        <v>990</v>
      </c>
      <c r="I957" t="s">
        <v>856</v>
      </c>
      <c r="J957">
        <v>0.01182949</v>
      </c>
      <c r="K957">
        <v>10001</v>
      </c>
      <c r="L957">
        <v>4979145.08</v>
      </c>
      <c r="M957">
        <v>62747.76</v>
      </c>
      <c r="N957">
        <v>127.15</v>
      </c>
      <c r="O957">
        <v>1271627.15</v>
      </c>
      <c r="P957">
        <v>15042.7</v>
      </c>
      <c r="Q957">
        <v>0</v>
      </c>
      <c r="R957">
        <v>0</v>
      </c>
      <c r="S957">
        <v>0.007</v>
      </c>
      <c r="T957" t="s">
        <v>25</v>
      </c>
    </row>
    <row r="958" spans="1:20" ht="15">
      <c r="A958" t="s">
        <v>19</v>
      </c>
      <c r="B958" t="s">
        <v>20</v>
      </c>
      <c r="C958" t="str">
        <f t="shared" si="14"/>
        <v>31-Dec-21</v>
      </c>
      <c r="D958" t="s">
        <v>21</v>
      </c>
      <c r="E958" t="s">
        <v>22</v>
      </c>
      <c r="F958" t="str">
        <f>"B2Q7WL3"</f>
        <v>B2Q7WL3</v>
      </c>
      <c r="G958" t="s">
        <v>991</v>
      </c>
      <c r="I958" t="s">
        <v>856</v>
      </c>
      <c r="J958">
        <v>0.01182949</v>
      </c>
      <c r="K958">
        <v>29496</v>
      </c>
      <c r="L958">
        <v>3602067.4</v>
      </c>
      <c r="M958">
        <v>47493.71</v>
      </c>
      <c r="N958">
        <v>133.8</v>
      </c>
      <c r="O958">
        <v>3946564.8</v>
      </c>
      <c r="P958">
        <v>46685.85</v>
      </c>
      <c r="Q958">
        <v>0</v>
      </c>
      <c r="R958">
        <v>0</v>
      </c>
      <c r="S958">
        <v>0.023</v>
      </c>
      <c r="T958" t="s">
        <v>25</v>
      </c>
    </row>
    <row r="959" spans="1:20" ht="15">
      <c r="A959" t="s">
        <v>19</v>
      </c>
      <c r="B959" t="s">
        <v>20</v>
      </c>
      <c r="C959" t="str">
        <f t="shared" si="14"/>
        <v>31-Dec-21</v>
      </c>
      <c r="D959" t="s">
        <v>21</v>
      </c>
      <c r="E959" t="s">
        <v>22</v>
      </c>
      <c r="F959" t="str">
        <f>"B0JJVB5"</f>
        <v>B0JJVB5</v>
      </c>
      <c r="G959" t="s">
        <v>992</v>
      </c>
      <c r="I959" t="s">
        <v>856</v>
      </c>
      <c r="J959">
        <v>0.01182949</v>
      </c>
      <c r="K959">
        <v>3591</v>
      </c>
      <c r="L959">
        <v>2288972.15</v>
      </c>
      <c r="M959">
        <v>29931.73</v>
      </c>
      <c r="N959">
        <v>737.45</v>
      </c>
      <c r="O959">
        <v>2648182.95</v>
      </c>
      <c r="P959">
        <v>31326.65</v>
      </c>
      <c r="Q959">
        <v>3591</v>
      </c>
      <c r="R959">
        <v>42.48</v>
      </c>
      <c r="S959">
        <v>0.016</v>
      </c>
      <c r="T959" t="s">
        <v>25</v>
      </c>
    </row>
    <row r="960" spans="1:20" ht="15">
      <c r="A960" t="s">
        <v>19</v>
      </c>
      <c r="B960" t="s">
        <v>20</v>
      </c>
      <c r="C960" t="str">
        <f t="shared" si="14"/>
        <v>31-Dec-21</v>
      </c>
      <c r="D960" t="s">
        <v>21</v>
      </c>
      <c r="E960" t="s">
        <v>22</v>
      </c>
      <c r="F960" t="str">
        <f>"6099626"</f>
        <v>6099626</v>
      </c>
      <c r="G960" t="s">
        <v>993</v>
      </c>
      <c r="I960" t="s">
        <v>856</v>
      </c>
      <c r="J960">
        <v>0.01182949</v>
      </c>
      <c r="K960">
        <v>107635</v>
      </c>
      <c r="L960">
        <v>102757769.77</v>
      </c>
      <c r="M960">
        <v>1285001.01</v>
      </c>
      <c r="N960">
        <v>2368.15</v>
      </c>
      <c r="O960">
        <v>254895825.25</v>
      </c>
      <c r="P960">
        <v>3015287.51</v>
      </c>
      <c r="Q960">
        <v>0</v>
      </c>
      <c r="R960">
        <v>0</v>
      </c>
      <c r="S960">
        <v>1.495</v>
      </c>
      <c r="T960" t="s">
        <v>25</v>
      </c>
    </row>
    <row r="961" spans="1:20" ht="15">
      <c r="A961" t="s">
        <v>19</v>
      </c>
      <c r="B961" t="s">
        <v>20</v>
      </c>
      <c r="C961" t="str">
        <f t="shared" si="14"/>
        <v>31-Dec-21</v>
      </c>
      <c r="D961" t="s">
        <v>21</v>
      </c>
      <c r="E961" t="s">
        <v>22</v>
      </c>
      <c r="F961" t="str">
        <f>"BKPFMG9"</f>
        <v>BKPFMG9</v>
      </c>
      <c r="G961" t="s">
        <v>994</v>
      </c>
      <c r="I961" t="s">
        <v>856</v>
      </c>
      <c r="J961">
        <v>0.01182949</v>
      </c>
      <c r="K961">
        <v>9247</v>
      </c>
      <c r="L961">
        <v>8209564.33</v>
      </c>
      <c r="M961">
        <v>93594.88</v>
      </c>
      <c r="N961">
        <v>928.15</v>
      </c>
      <c r="O961">
        <v>8582603.05</v>
      </c>
      <c r="P961">
        <v>101527.81</v>
      </c>
      <c r="Q961">
        <v>0</v>
      </c>
      <c r="R961">
        <v>0</v>
      </c>
      <c r="S961">
        <v>0.05</v>
      </c>
      <c r="T961" t="s">
        <v>25</v>
      </c>
    </row>
    <row r="962" spans="1:20" ht="15">
      <c r="A962" t="s">
        <v>19</v>
      </c>
      <c r="B962" t="s">
        <v>20</v>
      </c>
      <c r="C962" t="str">
        <f aca="true" t="shared" si="15" ref="C962:C1025">"31-Dec-21"</f>
        <v>31-Dec-21</v>
      </c>
      <c r="D962" t="s">
        <v>21</v>
      </c>
      <c r="E962" t="s">
        <v>22</v>
      </c>
      <c r="F962" t="str">
        <f>"BZ60N32"</f>
        <v>BZ60N32</v>
      </c>
      <c r="G962" t="s">
        <v>995</v>
      </c>
      <c r="I962" t="s">
        <v>856</v>
      </c>
      <c r="J962">
        <v>0.01182949</v>
      </c>
      <c r="K962">
        <v>14380</v>
      </c>
      <c r="L962">
        <v>12104860.85</v>
      </c>
      <c r="M962">
        <v>150279.47</v>
      </c>
      <c r="N962">
        <v>1196</v>
      </c>
      <c r="O962">
        <v>17198480</v>
      </c>
      <c r="P962">
        <v>203449.24</v>
      </c>
      <c r="Q962">
        <v>0</v>
      </c>
      <c r="R962">
        <v>0</v>
      </c>
      <c r="S962">
        <v>0.101</v>
      </c>
      <c r="T962" t="s">
        <v>25</v>
      </c>
    </row>
    <row r="963" spans="1:20" ht="15">
      <c r="A963" t="s">
        <v>19</v>
      </c>
      <c r="B963" t="s">
        <v>20</v>
      </c>
      <c r="C963" t="str">
        <f t="shared" si="15"/>
        <v>31-Dec-21</v>
      </c>
      <c r="D963" t="s">
        <v>21</v>
      </c>
      <c r="E963" t="s">
        <v>22</v>
      </c>
      <c r="F963" t="str">
        <f>"6374947"</f>
        <v>6374947</v>
      </c>
      <c r="G963" t="s">
        <v>996</v>
      </c>
      <c r="I963" t="s">
        <v>856</v>
      </c>
      <c r="J963">
        <v>0.01182949</v>
      </c>
      <c r="K963">
        <v>3674</v>
      </c>
      <c r="L963">
        <v>3378476.86</v>
      </c>
      <c r="M963">
        <v>38386.83</v>
      </c>
      <c r="N963">
        <v>2420.1</v>
      </c>
      <c r="O963">
        <v>8891447.4</v>
      </c>
      <c r="P963">
        <v>105181.28</v>
      </c>
      <c r="Q963">
        <v>0</v>
      </c>
      <c r="R963">
        <v>0</v>
      </c>
      <c r="S963">
        <v>0.052</v>
      </c>
      <c r="T963" t="s">
        <v>25</v>
      </c>
    </row>
    <row r="964" spans="1:20" ht="15">
      <c r="A964" t="s">
        <v>19</v>
      </c>
      <c r="B964" t="s">
        <v>20</v>
      </c>
      <c r="C964" t="str">
        <f t="shared" si="15"/>
        <v>31-Dec-21</v>
      </c>
      <c r="D964" t="s">
        <v>21</v>
      </c>
      <c r="E964" t="s">
        <v>22</v>
      </c>
      <c r="F964" t="str">
        <f>"6100357"</f>
        <v>6100357</v>
      </c>
      <c r="G964" t="s">
        <v>997</v>
      </c>
      <c r="I964" t="s">
        <v>856</v>
      </c>
      <c r="J964">
        <v>0.01182949</v>
      </c>
      <c r="K964">
        <v>454</v>
      </c>
      <c r="L964">
        <v>7306549.23</v>
      </c>
      <c r="M964">
        <v>91303.59</v>
      </c>
      <c r="N964">
        <v>26987.45</v>
      </c>
      <c r="O964">
        <v>12252302.3</v>
      </c>
      <c r="P964">
        <v>144938.48</v>
      </c>
      <c r="Q964">
        <v>0</v>
      </c>
      <c r="R964">
        <v>0</v>
      </c>
      <c r="S964">
        <v>0.072</v>
      </c>
      <c r="T964" t="s">
        <v>25</v>
      </c>
    </row>
    <row r="965" spans="1:20" ht="15">
      <c r="A965" t="s">
        <v>19</v>
      </c>
      <c r="B965" t="s">
        <v>20</v>
      </c>
      <c r="C965" t="str">
        <f t="shared" si="15"/>
        <v>31-Dec-21</v>
      </c>
      <c r="D965" t="s">
        <v>21</v>
      </c>
      <c r="E965" t="s">
        <v>22</v>
      </c>
      <c r="F965" t="str">
        <f>"6802608"</f>
        <v>6802608</v>
      </c>
      <c r="G965" t="s">
        <v>998</v>
      </c>
      <c r="I965" t="s">
        <v>856</v>
      </c>
      <c r="J965">
        <v>0.01182949</v>
      </c>
      <c r="K965">
        <v>6880</v>
      </c>
      <c r="L965">
        <v>6180710.33</v>
      </c>
      <c r="M965">
        <v>82837.18</v>
      </c>
      <c r="N965">
        <v>1217</v>
      </c>
      <c r="O965">
        <v>8372960</v>
      </c>
      <c r="P965">
        <v>99047.84</v>
      </c>
      <c r="Q965">
        <v>0</v>
      </c>
      <c r="R965">
        <v>0</v>
      </c>
      <c r="S965">
        <v>0.049</v>
      </c>
      <c r="T965" t="s">
        <v>25</v>
      </c>
    </row>
    <row r="966" spans="1:20" ht="15">
      <c r="A966" t="s">
        <v>19</v>
      </c>
      <c r="B966" t="s">
        <v>20</v>
      </c>
      <c r="C966" t="str">
        <f t="shared" si="15"/>
        <v>31-Dec-21</v>
      </c>
      <c r="D966" t="s">
        <v>21</v>
      </c>
      <c r="E966" t="s">
        <v>22</v>
      </c>
      <c r="F966" t="str">
        <f>"B15T569"</f>
        <v>B15T569</v>
      </c>
      <c r="G966" t="s">
        <v>999</v>
      </c>
      <c r="I966" t="s">
        <v>856</v>
      </c>
      <c r="J966">
        <v>0.01182949</v>
      </c>
      <c r="K966">
        <v>3041</v>
      </c>
      <c r="L966">
        <v>3844812.43</v>
      </c>
      <c r="M966">
        <v>53555.8</v>
      </c>
      <c r="N966">
        <v>2361.35</v>
      </c>
      <c r="O966">
        <v>7180865.35</v>
      </c>
      <c r="P966">
        <v>84945.97</v>
      </c>
      <c r="Q966">
        <v>0</v>
      </c>
      <c r="R966">
        <v>0</v>
      </c>
      <c r="S966">
        <v>0.042</v>
      </c>
      <c r="T966" t="s">
        <v>25</v>
      </c>
    </row>
    <row r="967" spans="1:20" ht="15">
      <c r="A967" t="s">
        <v>19</v>
      </c>
      <c r="B967" t="s">
        <v>20</v>
      </c>
      <c r="C967" t="str">
        <f t="shared" si="15"/>
        <v>31-Dec-21</v>
      </c>
      <c r="D967" t="s">
        <v>21</v>
      </c>
      <c r="E967" t="s">
        <v>22</v>
      </c>
      <c r="F967" t="str">
        <f>"BNR5NG5"</f>
        <v>BNR5NG5</v>
      </c>
      <c r="G967" t="s">
        <v>1000</v>
      </c>
      <c r="I967" t="s">
        <v>856</v>
      </c>
      <c r="J967">
        <v>0.01182949</v>
      </c>
      <c r="K967">
        <v>1501</v>
      </c>
      <c r="L967">
        <v>1138301.14</v>
      </c>
      <c r="M967">
        <v>13269.91</v>
      </c>
      <c r="N967">
        <v>743.55</v>
      </c>
      <c r="O967">
        <v>1116068.55</v>
      </c>
      <c r="P967">
        <v>13202.52</v>
      </c>
      <c r="Q967">
        <v>0</v>
      </c>
      <c r="R967">
        <v>0</v>
      </c>
      <c r="S967">
        <v>0.007</v>
      </c>
      <c r="T967" t="s">
        <v>25</v>
      </c>
    </row>
    <row r="968" spans="1:20" ht="15">
      <c r="A968" t="s">
        <v>19</v>
      </c>
      <c r="B968" t="s">
        <v>20</v>
      </c>
      <c r="C968" t="str">
        <f t="shared" si="15"/>
        <v>31-Dec-21</v>
      </c>
      <c r="D968" t="s">
        <v>21</v>
      </c>
      <c r="E968" t="s">
        <v>22</v>
      </c>
      <c r="F968" t="str">
        <f>"BSQCB24"</f>
        <v>BSQCB24</v>
      </c>
      <c r="G968" t="s">
        <v>1001</v>
      </c>
      <c r="I968" t="s">
        <v>856</v>
      </c>
      <c r="J968">
        <v>0.01182949</v>
      </c>
      <c r="K968">
        <v>54550</v>
      </c>
      <c r="L968">
        <v>14685986.39</v>
      </c>
      <c r="M968">
        <v>199151.37</v>
      </c>
      <c r="N968">
        <v>460.45</v>
      </c>
      <c r="O968">
        <v>25117547.5</v>
      </c>
      <c r="P968">
        <v>297127.77</v>
      </c>
      <c r="Q968">
        <v>0</v>
      </c>
      <c r="R968">
        <v>0</v>
      </c>
      <c r="S968">
        <v>0.147</v>
      </c>
      <c r="T968" t="s">
        <v>25</v>
      </c>
    </row>
    <row r="969" spans="1:20" ht="15">
      <c r="A969" t="s">
        <v>19</v>
      </c>
      <c r="B969" t="s">
        <v>20</v>
      </c>
      <c r="C969" t="str">
        <f t="shared" si="15"/>
        <v>31-Dec-21</v>
      </c>
      <c r="D969" t="s">
        <v>21</v>
      </c>
      <c r="E969" t="s">
        <v>22</v>
      </c>
      <c r="F969" t="str">
        <f>"6121499"</f>
        <v>6121499</v>
      </c>
      <c r="G969" t="s">
        <v>1002</v>
      </c>
      <c r="I969" t="s">
        <v>856</v>
      </c>
      <c r="J969">
        <v>0.01182949</v>
      </c>
      <c r="K969">
        <v>43969</v>
      </c>
      <c r="L969">
        <v>1870369.8</v>
      </c>
      <c r="M969">
        <v>24609.49</v>
      </c>
      <c r="N969">
        <v>107.2</v>
      </c>
      <c r="O969">
        <v>4713476.8</v>
      </c>
      <c r="P969">
        <v>55758.02</v>
      </c>
      <c r="Q969">
        <v>0</v>
      </c>
      <c r="R969">
        <v>0</v>
      </c>
      <c r="S969">
        <v>0.028</v>
      </c>
      <c r="T969" t="s">
        <v>25</v>
      </c>
    </row>
    <row r="970" spans="1:20" ht="15">
      <c r="A970" t="s">
        <v>19</v>
      </c>
      <c r="B970" t="s">
        <v>20</v>
      </c>
      <c r="C970" t="str">
        <f t="shared" si="15"/>
        <v>31-Dec-21</v>
      </c>
      <c r="D970" t="s">
        <v>21</v>
      </c>
      <c r="E970" t="s">
        <v>22</v>
      </c>
      <c r="F970" t="str">
        <f>"6582483"</f>
        <v>6582483</v>
      </c>
      <c r="G970" t="s">
        <v>1003</v>
      </c>
      <c r="I970" t="s">
        <v>856</v>
      </c>
      <c r="J970">
        <v>0.01182949</v>
      </c>
      <c r="K970">
        <v>36293</v>
      </c>
      <c r="L970">
        <v>24632105.12</v>
      </c>
      <c r="M970">
        <v>336538.07</v>
      </c>
      <c r="N970">
        <v>845.7</v>
      </c>
      <c r="O970">
        <v>30692990.1</v>
      </c>
      <c r="P970">
        <v>363082.41</v>
      </c>
      <c r="Q970">
        <v>0</v>
      </c>
      <c r="R970">
        <v>0</v>
      </c>
      <c r="S970">
        <v>0.18</v>
      </c>
      <c r="T970" t="s">
        <v>25</v>
      </c>
    </row>
    <row r="971" spans="1:20" ht="15">
      <c r="A971" t="s">
        <v>19</v>
      </c>
      <c r="B971" t="s">
        <v>20</v>
      </c>
      <c r="C971" t="str">
        <f t="shared" si="15"/>
        <v>31-Dec-21</v>
      </c>
      <c r="D971" t="s">
        <v>21</v>
      </c>
      <c r="E971" t="s">
        <v>22</v>
      </c>
      <c r="F971" t="str">
        <f>"B128WL3"</f>
        <v>B128WL3</v>
      </c>
      <c r="G971" t="s">
        <v>1004</v>
      </c>
      <c r="I971" t="s">
        <v>856</v>
      </c>
      <c r="J971">
        <v>0.01182949</v>
      </c>
      <c r="K971">
        <v>5127</v>
      </c>
      <c r="L971">
        <v>2585305.68</v>
      </c>
      <c r="M971">
        <v>32228.71</v>
      </c>
      <c r="N971">
        <v>500.1</v>
      </c>
      <c r="O971">
        <v>2564012.7</v>
      </c>
      <c r="P971">
        <v>30330.96</v>
      </c>
      <c r="Q971">
        <v>0</v>
      </c>
      <c r="R971">
        <v>0</v>
      </c>
      <c r="S971">
        <v>0.015</v>
      </c>
      <c r="T971" t="s">
        <v>25</v>
      </c>
    </row>
    <row r="972" spans="1:20" ht="15">
      <c r="A972" t="s">
        <v>19</v>
      </c>
      <c r="B972" t="s">
        <v>20</v>
      </c>
      <c r="C972" t="str">
        <f t="shared" si="15"/>
        <v>31-Dec-21</v>
      </c>
      <c r="D972" t="s">
        <v>21</v>
      </c>
      <c r="E972" t="s">
        <v>22</v>
      </c>
      <c r="F972" t="str">
        <f>"B0L4LR4"</f>
        <v>B0L4LR4</v>
      </c>
      <c r="G972" t="s">
        <v>1005</v>
      </c>
      <c r="I972" t="s">
        <v>856</v>
      </c>
      <c r="J972">
        <v>0.01182949</v>
      </c>
      <c r="K972">
        <v>1685</v>
      </c>
      <c r="L972">
        <v>4073884.21</v>
      </c>
      <c r="M972">
        <v>48349.1</v>
      </c>
      <c r="N972">
        <v>2287.5</v>
      </c>
      <c r="O972">
        <v>3854437.5</v>
      </c>
      <c r="P972">
        <v>45596.03</v>
      </c>
      <c r="Q972">
        <v>0</v>
      </c>
      <c r="R972">
        <v>0</v>
      </c>
      <c r="S972">
        <v>0.023</v>
      </c>
      <c r="T972" t="s">
        <v>25</v>
      </c>
    </row>
    <row r="973" spans="1:20" ht="15">
      <c r="A973" t="s">
        <v>19</v>
      </c>
      <c r="B973" t="s">
        <v>20</v>
      </c>
      <c r="C973" t="str">
        <f t="shared" si="15"/>
        <v>31-Dec-21</v>
      </c>
      <c r="D973" t="s">
        <v>21</v>
      </c>
      <c r="E973" t="s">
        <v>22</v>
      </c>
      <c r="F973" t="str">
        <f>"6726548"</f>
        <v>6726548</v>
      </c>
      <c r="G973" t="s">
        <v>1006</v>
      </c>
      <c r="I973" t="s">
        <v>856</v>
      </c>
      <c r="J973">
        <v>0.01182949</v>
      </c>
      <c r="K973">
        <v>8425</v>
      </c>
      <c r="L973">
        <v>4125762.12</v>
      </c>
      <c r="M973">
        <v>51429.2</v>
      </c>
      <c r="N973">
        <v>627</v>
      </c>
      <c r="O973">
        <v>5282475</v>
      </c>
      <c r="P973">
        <v>62488.98</v>
      </c>
      <c r="Q973">
        <v>0</v>
      </c>
      <c r="R973">
        <v>0</v>
      </c>
      <c r="S973">
        <v>0.031</v>
      </c>
      <c r="T973" t="s">
        <v>25</v>
      </c>
    </row>
    <row r="974" spans="1:20" ht="15">
      <c r="A974" t="s">
        <v>19</v>
      </c>
      <c r="B974" t="s">
        <v>20</v>
      </c>
      <c r="C974" t="str">
        <f t="shared" si="15"/>
        <v>31-Dec-21</v>
      </c>
      <c r="D974" t="s">
        <v>21</v>
      </c>
      <c r="E974" t="s">
        <v>22</v>
      </c>
      <c r="F974" t="str">
        <f>"6114745"</f>
        <v>6114745</v>
      </c>
      <c r="G974" t="s">
        <v>1007</v>
      </c>
      <c r="I974" t="s">
        <v>856</v>
      </c>
      <c r="J974">
        <v>0.01182949</v>
      </c>
      <c r="K974">
        <v>3917</v>
      </c>
      <c r="L974">
        <v>3002019.54</v>
      </c>
      <c r="M974">
        <v>34659.25</v>
      </c>
      <c r="N974">
        <v>1464.45</v>
      </c>
      <c r="O974">
        <v>5736250.65</v>
      </c>
      <c r="P974">
        <v>67856.92</v>
      </c>
      <c r="Q974">
        <v>0</v>
      </c>
      <c r="R974">
        <v>0</v>
      </c>
      <c r="S974">
        <v>0.034</v>
      </c>
      <c r="T974" t="s">
        <v>25</v>
      </c>
    </row>
    <row r="975" spans="1:20" ht="15">
      <c r="A975" t="s">
        <v>19</v>
      </c>
      <c r="B975" t="s">
        <v>20</v>
      </c>
      <c r="C975" t="str">
        <f t="shared" si="15"/>
        <v>31-Dec-21</v>
      </c>
      <c r="D975" t="s">
        <v>21</v>
      </c>
      <c r="E975" t="s">
        <v>22</v>
      </c>
      <c r="F975" t="str">
        <f>"B01NPJ1"</f>
        <v>B01NPJ1</v>
      </c>
      <c r="G975" t="s">
        <v>1008</v>
      </c>
      <c r="I975" t="s">
        <v>856</v>
      </c>
      <c r="J975">
        <v>0.01182949</v>
      </c>
      <c r="K975">
        <v>33235</v>
      </c>
      <c r="L975">
        <v>57749725.34</v>
      </c>
      <c r="M975">
        <v>729392.86</v>
      </c>
      <c r="N975">
        <v>3738.35</v>
      </c>
      <c r="O975">
        <v>124244062.25</v>
      </c>
      <c r="P975">
        <v>1469743.84</v>
      </c>
      <c r="Q975">
        <v>0</v>
      </c>
      <c r="R975">
        <v>0</v>
      </c>
      <c r="S975">
        <v>0.729</v>
      </c>
      <c r="T975" t="s">
        <v>25</v>
      </c>
    </row>
    <row r="976" spans="1:20" ht="15">
      <c r="A976" t="s">
        <v>19</v>
      </c>
      <c r="B976" t="s">
        <v>20</v>
      </c>
      <c r="C976" t="str">
        <f t="shared" si="15"/>
        <v>31-Dec-21</v>
      </c>
      <c r="D976" t="s">
        <v>21</v>
      </c>
      <c r="E976" t="s">
        <v>22</v>
      </c>
      <c r="F976" t="str">
        <f>"6121488"</f>
        <v>6121488</v>
      </c>
      <c r="G976" t="s">
        <v>1009</v>
      </c>
      <c r="I976" t="s">
        <v>856</v>
      </c>
      <c r="J976">
        <v>0.01182949</v>
      </c>
      <c r="K976">
        <v>20568</v>
      </c>
      <c r="L976">
        <v>11048231.4</v>
      </c>
      <c r="M976">
        <v>126635.18</v>
      </c>
      <c r="N976">
        <v>743.45</v>
      </c>
      <c r="O976">
        <v>15291279.6</v>
      </c>
      <c r="P976">
        <v>180888.03</v>
      </c>
      <c r="Q976">
        <v>0</v>
      </c>
      <c r="R976">
        <v>0</v>
      </c>
      <c r="S976">
        <v>0.09</v>
      </c>
      <c r="T976" t="s">
        <v>25</v>
      </c>
    </row>
    <row r="977" spans="1:20" ht="15">
      <c r="A977" t="s">
        <v>19</v>
      </c>
      <c r="B977" t="s">
        <v>20</v>
      </c>
      <c r="C977" t="str">
        <f t="shared" si="15"/>
        <v>31-Dec-21</v>
      </c>
      <c r="D977" t="s">
        <v>21</v>
      </c>
      <c r="E977" t="s">
        <v>22</v>
      </c>
      <c r="F977" t="str">
        <f>"B611LV1"</f>
        <v>B611LV1</v>
      </c>
      <c r="G977" t="s">
        <v>1010</v>
      </c>
      <c r="I977" t="s">
        <v>856</v>
      </c>
      <c r="J977">
        <v>0.01182949</v>
      </c>
      <c r="K977">
        <v>56892</v>
      </c>
      <c r="L977">
        <v>17842142.22</v>
      </c>
      <c r="M977">
        <v>232525.79</v>
      </c>
      <c r="N977">
        <v>482.4</v>
      </c>
      <c r="O977">
        <v>27444700.8</v>
      </c>
      <c r="P977">
        <v>324656.8</v>
      </c>
      <c r="Q977">
        <v>0</v>
      </c>
      <c r="R977">
        <v>0</v>
      </c>
      <c r="S977">
        <v>0.161</v>
      </c>
      <c r="T977" t="s">
        <v>25</v>
      </c>
    </row>
    <row r="978" spans="1:20" ht="15">
      <c r="A978" t="s">
        <v>19</v>
      </c>
      <c r="B978" t="s">
        <v>20</v>
      </c>
      <c r="C978" t="str">
        <f t="shared" si="15"/>
        <v>31-Dec-21</v>
      </c>
      <c r="D978" t="s">
        <v>21</v>
      </c>
      <c r="E978" t="s">
        <v>22</v>
      </c>
      <c r="F978" t="str">
        <f>"B60NRB0"</f>
        <v>B60NRB0</v>
      </c>
      <c r="G978" t="s">
        <v>1010</v>
      </c>
      <c r="I978" t="s">
        <v>856</v>
      </c>
      <c r="J978">
        <v>0.01182949</v>
      </c>
      <c r="K978">
        <v>14289</v>
      </c>
      <c r="L978">
        <v>791892.79</v>
      </c>
      <c r="M978">
        <v>9072.93</v>
      </c>
      <c r="N978">
        <v>239.35</v>
      </c>
      <c r="O978">
        <v>3420072.15</v>
      </c>
      <c r="P978">
        <v>40457.71</v>
      </c>
      <c r="Q978">
        <v>0</v>
      </c>
      <c r="R978">
        <v>0</v>
      </c>
      <c r="S978">
        <v>0.02</v>
      </c>
      <c r="T978" t="s">
        <v>25</v>
      </c>
    </row>
    <row r="979" spans="1:20" ht="15">
      <c r="A979" t="s">
        <v>19</v>
      </c>
      <c r="B979" t="s">
        <v>20</v>
      </c>
      <c r="C979" t="str">
        <f t="shared" si="15"/>
        <v>31-Dec-21</v>
      </c>
      <c r="D979" t="s">
        <v>21</v>
      </c>
      <c r="E979" t="s">
        <v>22</v>
      </c>
      <c r="F979" t="str">
        <f>"B6Z1L73"</f>
        <v>B6Z1L73</v>
      </c>
      <c r="G979" t="s">
        <v>1011</v>
      </c>
      <c r="I979" t="s">
        <v>856</v>
      </c>
      <c r="J979">
        <v>0.01182949</v>
      </c>
      <c r="K979">
        <v>68716</v>
      </c>
      <c r="L979">
        <v>4638179.16</v>
      </c>
      <c r="M979">
        <v>58739.45</v>
      </c>
      <c r="N979">
        <v>220.95</v>
      </c>
      <c r="O979">
        <v>15182800.2</v>
      </c>
      <c r="P979">
        <v>179604.78</v>
      </c>
      <c r="Q979">
        <v>0</v>
      </c>
      <c r="R979">
        <v>0</v>
      </c>
      <c r="S979">
        <v>0.089</v>
      </c>
      <c r="T979" t="s">
        <v>25</v>
      </c>
    </row>
    <row r="980" spans="1:20" ht="15">
      <c r="A980" t="s">
        <v>19</v>
      </c>
      <c r="B980" t="s">
        <v>20</v>
      </c>
      <c r="C980" t="str">
        <f t="shared" si="15"/>
        <v>31-Dec-21</v>
      </c>
      <c r="D980" t="s">
        <v>21</v>
      </c>
      <c r="E980" t="s">
        <v>22</v>
      </c>
      <c r="F980" t="str">
        <f>"6101156"</f>
        <v>6101156</v>
      </c>
      <c r="G980" t="s">
        <v>1012</v>
      </c>
      <c r="I980" t="s">
        <v>856</v>
      </c>
      <c r="J980">
        <v>0.01182949</v>
      </c>
      <c r="K980">
        <v>24148</v>
      </c>
      <c r="L980">
        <v>13865472.87</v>
      </c>
      <c r="M980">
        <v>163906.09</v>
      </c>
      <c r="N980">
        <v>1111.45</v>
      </c>
      <c r="O980">
        <v>26839294.6</v>
      </c>
      <c r="P980">
        <v>317495.16</v>
      </c>
      <c r="Q980">
        <v>0</v>
      </c>
      <c r="R980">
        <v>0</v>
      </c>
      <c r="S980">
        <v>0.157</v>
      </c>
      <c r="T980" t="s">
        <v>25</v>
      </c>
    </row>
    <row r="981" spans="1:20" ht="15">
      <c r="A981" t="s">
        <v>19</v>
      </c>
      <c r="B981" t="s">
        <v>20</v>
      </c>
      <c r="C981" t="str">
        <f t="shared" si="15"/>
        <v>31-Dec-21</v>
      </c>
      <c r="D981" t="s">
        <v>21</v>
      </c>
      <c r="E981" t="s">
        <v>22</v>
      </c>
      <c r="F981" t="str">
        <f>"BWFGD63"</f>
        <v>BWFGD63</v>
      </c>
      <c r="G981" t="s">
        <v>1013</v>
      </c>
      <c r="I981" t="s">
        <v>856</v>
      </c>
      <c r="J981">
        <v>0.01182949</v>
      </c>
      <c r="K981">
        <v>18819</v>
      </c>
      <c r="L981">
        <v>11628451.03</v>
      </c>
      <c r="M981">
        <v>152412.6</v>
      </c>
      <c r="N981">
        <v>1790.55</v>
      </c>
      <c r="O981">
        <v>33696360.45</v>
      </c>
      <c r="P981">
        <v>398610.74</v>
      </c>
      <c r="Q981">
        <v>0</v>
      </c>
      <c r="R981">
        <v>0</v>
      </c>
      <c r="S981">
        <v>0.198</v>
      </c>
      <c r="T981" t="s">
        <v>25</v>
      </c>
    </row>
    <row r="982" spans="1:20" ht="15">
      <c r="A982" t="s">
        <v>19</v>
      </c>
      <c r="B982" t="s">
        <v>20</v>
      </c>
      <c r="C982" t="str">
        <f t="shared" si="15"/>
        <v>31-Dec-21</v>
      </c>
      <c r="D982" t="s">
        <v>21</v>
      </c>
      <c r="E982" t="s">
        <v>22</v>
      </c>
      <c r="F982" t="str">
        <f>"6139340"</f>
        <v>6139340</v>
      </c>
      <c r="G982" t="s">
        <v>1014</v>
      </c>
      <c r="I982" t="s">
        <v>856</v>
      </c>
      <c r="J982">
        <v>0.01182949</v>
      </c>
      <c r="K982">
        <v>12810</v>
      </c>
      <c r="L982">
        <v>9094694.83</v>
      </c>
      <c r="M982">
        <v>110331.35</v>
      </c>
      <c r="N982">
        <v>2522.4</v>
      </c>
      <c r="O982">
        <v>32311944</v>
      </c>
      <c r="P982">
        <v>382233.8</v>
      </c>
      <c r="Q982">
        <v>0</v>
      </c>
      <c r="R982">
        <v>0</v>
      </c>
      <c r="S982">
        <v>0.189</v>
      </c>
      <c r="T982" t="s">
        <v>25</v>
      </c>
    </row>
    <row r="983" spans="1:20" ht="15">
      <c r="A983" t="s">
        <v>19</v>
      </c>
      <c r="B983" t="s">
        <v>20</v>
      </c>
      <c r="C983" t="str">
        <f t="shared" si="15"/>
        <v>31-Dec-21</v>
      </c>
      <c r="D983" t="s">
        <v>21</v>
      </c>
      <c r="E983" t="s">
        <v>22</v>
      </c>
      <c r="F983" t="str">
        <f>"B0XPSB8"</f>
        <v>B0XPSB8</v>
      </c>
      <c r="G983" t="s">
        <v>1015</v>
      </c>
      <c r="I983" t="s">
        <v>856</v>
      </c>
      <c r="J983">
        <v>0.01182949</v>
      </c>
      <c r="K983">
        <v>1643</v>
      </c>
      <c r="L983">
        <v>2917685.91</v>
      </c>
      <c r="M983">
        <v>38497.8</v>
      </c>
      <c r="N983">
        <v>3278.45</v>
      </c>
      <c r="O983">
        <v>5386493.35</v>
      </c>
      <c r="P983">
        <v>63719.47</v>
      </c>
      <c r="Q983">
        <v>0</v>
      </c>
      <c r="R983">
        <v>0</v>
      </c>
      <c r="S983">
        <v>0.032</v>
      </c>
      <c r="T983" t="s">
        <v>25</v>
      </c>
    </row>
    <row r="984" spans="1:20" ht="15">
      <c r="A984" t="s">
        <v>19</v>
      </c>
      <c r="B984" t="s">
        <v>20</v>
      </c>
      <c r="C984" t="str">
        <f t="shared" si="15"/>
        <v>31-Dec-21</v>
      </c>
      <c r="D984" t="s">
        <v>21</v>
      </c>
      <c r="E984" t="s">
        <v>22</v>
      </c>
      <c r="F984" t="str">
        <f>"B1JLL30"</f>
        <v>B1JLL30</v>
      </c>
      <c r="G984" t="s">
        <v>1016</v>
      </c>
      <c r="I984" t="s">
        <v>856</v>
      </c>
      <c r="J984">
        <v>0.01182949</v>
      </c>
      <c r="K984">
        <v>8260</v>
      </c>
      <c r="L984">
        <v>2280120.15</v>
      </c>
      <c r="M984">
        <v>27486.06</v>
      </c>
      <c r="N984">
        <v>553.55</v>
      </c>
      <c r="O984">
        <v>4572323</v>
      </c>
      <c r="P984">
        <v>54088.25</v>
      </c>
      <c r="Q984">
        <v>0</v>
      </c>
      <c r="R984">
        <v>0</v>
      </c>
      <c r="S984">
        <v>0.027</v>
      </c>
      <c r="T984" t="s">
        <v>25</v>
      </c>
    </row>
    <row r="985" spans="1:20" ht="15">
      <c r="A985" t="s">
        <v>19</v>
      </c>
      <c r="B985" t="s">
        <v>20</v>
      </c>
      <c r="C985" t="str">
        <f t="shared" si="15"/>
        <v>31-Dec-21</v>
      </c>
      <c r="D985" t="s">
        <v>21</v>
      </c>
      <c r="E985" t="s">
        <v>22</v>
      </c>
      <c r="F985" t="str">
        <f>"BDDRN32"</f>
        <v>BDDRN32</v>
      </c>
      <c r="G985" t="s">
        <v>1017</v>
      </c>
      <c r="I985" t="s">
        <v>856</v>
      </c>
      <c r="J985">
        <v>0.01182949</v>
      </c>
      <c r="K985">
        <v>6420</v>
      </c>
      <c r="L985">
        <v>4406921.71</v>
      </c>
      <c r="M985">
        <v>50587.6</v>
      </c>
      <c r="N985">
        <v>1065</v>
      </c>
      <c r="O985">
        <v>6837300</v>
      </c>
      <c r="P985">
        <v>80881.77</v>
      </c>
      <c r="Q985">
        <v>0</v>
      </c>
      <c r="R985">
        <v>0</v>
      </c>
      <c r="S985">
        <v>0.04</v>
      </c>
      <c r="T985" t="s">
        <v>25</v>
      </c>
    </row>
    <row r="986" spans="1:20" ht="15">
      <c r="A986" t="s">
        <v>19</v>
      </c>
      <c r="B986" t="s">
        <v>20</v>
      </c>
      <c r="C986" t="str">
        <f t="shared" si="15"/>
        <v>31-Dec-21</v>
      </c>
      <c r="D986" t="s">
        <v>21</v>
      </c>
      <c r="E986" t="s">
        <v>22</v>
      </c>
      <c r="F986" t="str">
        <f>"B0L0W35"</f>
        <v>B0L0W35</v>
      </c>
      <c r="G986" t="s">
        <v>1018</v>
      </c>
      <c r="I986" t="s">
        <v>856</v>
      </c>
      <c r="J986">
        <v>0.01182949</v>
      </c>
      <c r="K986">
        <v>18126</v>
      </c>
      <c r="L986">
        <v>7373620.82</v>
      </c>
      <c r="M986">
        <v>100707.63</v>
      </c>
      <c r="N986">
        <v>747.1</v>
      </c>
      <c r="O986">
        <v>13541934.6</v>
      </c>
      <c r="P986">
        <v>160194.17</v>
      </c>
      <c r="Q986">
        <v>0</v>
      </c>
      <c r="R986">
        <v>0</v>
      </c>
      <c r="S986">
        <v>0.079</v>
      </c>
      <c r="T986" t="s">
        <v>25</v>
      </c>
    </row>
    <row r="987" spans="1:20" ht="15">
      <c r="A987" t="s">
        <v>19</v>
      </c>
      <c r="B987" t="s">
        <v>20</v>
      </c>
      <c r="C987" t="str">
        <f t="shared" si="15"/>
        <v>31-Dec-21</v>
      </c>
      <c r="D987" t="s">
        <v>21</v>
      </c>
      <c r="E987" t="s">
        <v>22</v>
      </c>
      <c r="F987" t="str">
        <f>"B01GZF6"</f>
        <v>B01GZF6</v>
      </c>
      <c r="G987" t="s">
        <v>1019</v>
      </c>
      <c r="I987" t="s">
        <v>856</v>
      </c>
      <c r="J987">
        <v>0.01182949</v>
      </c>
      <c r="K987">
        <v>3447</v>
      </c>
      <c r="L987">
        <v>12876371.06</v>
      </c>
      <c r="M987">
        <v>165912.45</v>
      </c>
      <c r="N987">
        <v>7591.05</v>
      </c>
      <c r="O987">
        <v>26166349.35</v>
      </c>
      <c r="P987">
        <v>309534.56</v>
      </c>
      <c r="Q987">
        <v>0</v>
      </c>
      <c r="R987">
        <v>0</v>
      </c>
      <c r="S987">
        <v>0.153</v>
      </c>
      <c r="T987" t="s">
        <v>25</v>
      </c>
    </row>
    <row r="988" spans="1:20" ht="15">
      <c r="A988" t="s">
        <v>19</v>
      </c>
      <c r="B988" t="s">
        <v>20</v>
      </c>
      <c r="C988" t="str">
        <f t="shared" si="15"/>
        <v>31-Dec-21</v>
      </c>
      <c r="D988" t="s">
        <v>21</v>
      </c>
      <c r="E988" t="s">
        <v>22</v>
      </c>
      <c r="F988" t="str">
        <f>"6579634"</f>
        <v>6579634</v>
      </c>
      <c r="G988" t="s">
        <v>1020</v>
      </c>
      <c r="I988" t="s">
        <v>856</v>
      </c>
      <c r="J988">
        <v>0.01182949</v>
      </c>
      <c r="K988">
        <v>17866</v>
      </c>
      <c r="L988">
        <v>943916.54</v>
      </c>
      <c r="M988">
        <v>11893.19</v>
      </c>
      <c r="N988">
        <v>43.4</v>
      </c>
      <c r="O988">
        <v>775384.4</v>
      </c>
      <c r="P988">
        <v>9172.4</v>
      </c>
      <c r="Q988">
        <v>0</v>
      </c>
      <c r="R988">
        <v>0</v>
      </c>
      <c r="S988">
        <v>0.005</v>
      </c>
      <c r="T988" t="s">
        <v>25</v>
      </c>
    </row>
    <row r="989" spans="1:20" ht="15">
      <c r="A989" t="s">
        <v>19</v>
      </c>
      <c r="B989" t="s">
        <v>20</v>
      </c>
      <c r="C989" t="str">
        <f t="shared" si="15"/>
        <v>31-Dec-21</v>
      </c>
      <c r="D989" t="s">
        <v>21</v>
      </c>
      <c r="E989" t="s">
        <v>22</v>
      </c>
      <c r="F989" t="str">
        <f>"B1683V6"</f>
        <v>B1683V6</v>
      </c>
      <c r="G989" t="s">
        <v>1021</v>
      </c>
      <c r="I989" t="s">
        <v>856</v>
      </c>
      <c r="J989">
        <v>0.01182949</v>
      </c>
      <c r="K989">
        <v>2328</v>
      </c>
      <c r="L989">
        <v>2233866.05</v>
      </c>
      <c r="M989">
        <v>31583.97</v>
      </c>
      <c r="N989">
        <v>1586.05</v>
      </c>
      <c r="O989">
        <v>3692324.4</v>
      </c>
      <c r="P989">
        <v>43678.31</v>
      </c>
      <c r="Q989">
        <v>0</v>
      </c>
      <c r="R989">
        <v>0</v>
      </c>
      <c r="S989">
        <v>0.022</v>
      </c>
      <c r="T989" t="s">
        <v>25</v>
      </c>
    </row>
    <row r="990" spans="1:20" ht="15">
      <c r="A990" t="s">
        <v>19</v>
      </c>
      <c r="B990" t="s">
        <v>20</v>
      </c>
      <c r="C990" t="str">
        <f t="shared" si="15"/>
        <v>31-Dec-21</v>
      </c>
      <c r="D990" t="s">
        <v>21</v>
      </c>
      <c r="E990" t="s">
        <v>22</v>
      </c>
      <c r="F990" t="str">
        <f>"BYWFSB7"</f>
        <v>BYWFSB7</v>
      </c>
      <c r="G990" t="s">
        <v>1022</v>
      </c>
      <c r="I990" t="s">
        <v>856</v>
      </c>
      <c r="J990">
        <v>0.01182949</v>
      </c>
      <c r="K990">
        <v>9724</v>
      </c>
      <c r="L990">
        <v>6084780.39</v>
      </c>
      <c r="M990">
        <v>82579.74</v>
      </c>
      <c r="N990">
        <v>898.25</v>
      </c>
      <c r="O990">
        <v>8734583</v>
      </c>
      <c r="P990">
        <v>103325.66</v>
      </c>
      <c r="Q990">
        <v>0</v>
      </c>
      <c r="R990">
        <v>0</v>
      </c>
      <c r="S990">
        <v>0.051</v>
      </c>
      <c r="T990" t="s">
        <v>25</v>
      </c>
    </row>
    <row r="991" spans="1:20" ht="15">
      <c r="A991" t="s">
        <v>19</v>
      </c>
      <c r="B991" t="s">
        <v>20</v>
      </c>
      <c r="C991" t="str">
        <f t="shared" si="15"/>
        <v>31-Dec-21</v>
      </c>
      <c r="D991" t="s">
        <v>21</v>
      </c>
      <c r="E991" t="s">
        <v>22</v>
      </c>
      <c r="F991" t="str">
        <f>"BD0RYG5"</f>
        <v>BD0RYG5</v>
      </c>
      <c r="G991" t="s">
        <v>1023</v>
      </c>
      <c r="I991" t="s">
        <v>856</v>
      </c>
      <c r="J991">
        <v>0.01182949</v>
      </c>
      <c r="K991">
        <v>3799</v>
      </c>
      <c r="L991">
        <v>2473925.43</v>
      </c>
      <c r="M991">
        <v>28643.12</v>
      </c>
      <c r="N991">
        <v>888.3</v>
      </c>
      <c r="O991">
        <v>3374651.7</v>
      </c>
      <c r="P991">
        <v>39920.41</v>
      </c>
      <c r="Q991">
        <v>0</v>
      </c>
      <c r="R991">
        <v>0</v>
      </c>
      <c r="S991">
        <v>0.02</v>
      </c>
      <c r="T991" t="s">
        <v>25</v>
      </c>
    </row>
    <row r="992" spans="1:20" ht="15">
      <c r="A992" t="s">
        <v>19</v>
      </c>
      <c r="B992" t="s">
        <v>20</v>
      </c>
      <c r="C992" t="str">
        <f t="shared" si="15"/>
        <v>31-Dec-21</v>
      </c>
      <c r="D992" t="s">
        <v>21</v>
      </c>
      <c r="E992" t="s">
        <v>22</v>
      </c>
      <c r="F992" t="str">
        <f>"6136040"</f>
        <v>6136040</v>
      </c>
      <c r="G992" t="s">
        <v>1024</v>
      </c>
      <c r="I992" t="s">
        <v>856</v>
      </c>
      <c r="J992">
        <v>0.01182949</v>
      </c>
      <c r="K992">
        <v>41976</v>
      </c>
      <c r="L992">
        <v>8011836.47</v>
      </c>
      <c r="M992">
        <v>96396.97</v>
      </c>
      <c r="N992">
        <v>341.2</v>
      </c>
      <c r="O992">
        <v>14322211.2</v>
      </c>
      <c r="P992">
        <v>169424.45</v>
      </c>
      <c r="Q992">
        <v>566676</v>
      </c>
      <c r="R992">
        <v>6703.49</v>
      </c>
      <c r="S992">
        <v>0.087</v>
      </c>
      <c r="T992" t="s">
        <v>25</v>
      </c>
    </row>
    <row r="993" spans="1:20" ht="15">
      <c r="A993" t="s">
        <v>19</v>
      </c>
      <c r="B993" t="s">
        <v>20</v>
      </c>
      <c r="C993" t="str">
        <f t="shared" si="15"/>
        <v>31-Dec-21</v>
      </c>
      <c r="D993" t="s">
        <v>21</v>
      </c>
      <c r="E993" t="s">
        <v>22</v>
      </c>
      <c r="F993" t="str">
        <f>"B1MP4H4"</f>
        <v>B1MP4H4</v>
      </c>
      <c r="G993" t="s">
        <v>1025</v>
      </c>
      <c r="I993" t="s">
        <v>856</v>
      </c>
      <c r="J993">
        <v>0.01182949</v>
      </c>
      <c r="K993">
        <v>204707</v>
      </c>
      <c r="L993">
        <v>8699766.83</v>
      </c>
      <c r="M993">
        <v>115294.45</v>
      </c>
      <c r="N993">
        <v>15.35</v>
      </c>
      <c r="O993">
        <v>3142252.45</v>
      </c>
      <c r="P993">
        <v>37171.24</v>
      </c>
      <c r="Q993">
        <v>0</v>
      </c>
      <c r="R993">
        <v>0</v>
      </c>
      <c r="S993">
        <v>0.018</v>
      </c>
      <c r="T993" t="s">
        <v>25</v>
      </c>
    </row>
    <row r="994" spans="1:20" ht="15">
      <c r="A994" t="s">
        <v>19</v>
      </c>
      <c r="B994" t="s">
        <v>20</v>
      </c>
      <c r="C994" t="str">
        <f t="shared" si="15"/>
        <v>31-Dec-21</v>
      </c>
      <c r="D994" t="s">
        <v>21</v>
      </c>
      <c r="E994" t="s">
        <v>22</v>
      </c>
      <c r="F994" t="str">
        <f>"B1FCQX2"</f>
        <v>B1FCQX2</v>
      </c>
      <c r="G994" t="s">
        <v>1026</v>
      </c>
      <c r="I994" t="s">
        <v>856</v>
      </c>
      <c r="J994">
        <v>0.01182949</v>
      </c>
      <c r="K994">
        <v>7968</v>
      </c>
      <c r="L994">
        <v>5786831.21</v>
      </c>
      <c r="M994">
        <v>69926.14</v>
      </c>
      <c r="N994">
        <v>1219.15</v>
      </c>
      <c r="O994">
        <v>9714187.2</v>
      </c>
      <c r="P994">
        <v>114913.88</v>
      </c>
      <c r="Q994">
        <v>0</v>
      </c>
      <c r="R994">
        <v>0</v>
      </c>
      <c r="S994">
        <v>0.057</v>
      </c>
      <c r="T994" t="s">
        <v>25</v>
      </c>
    </row>
    <row r="995" spans="1:20" ht="15">
      <c r="A995" t="s">
        <v>19</v>
      </c>
      <c r="B995" t="s">
        <v>20</v>
      </c>
      <c r="C995" t="str">
        <f t="shared" si="15"/>
        <v>31-Dec-21</v>
      </c>
      <c r="D995" t="s">
        <v>21</v>
      </c>
      <c r="E995" t="s">
        <v>22</v>
      </c>
      <c r="F995" t="str">
        <f>"6291790"</f>
        <v>6291790</v>
      </c>
      <c r="G995" t="s">
        <v>1027</v>
      </c>
      <c r="I995" t="s">
        <v>856</v>
      </c>
      <c r="J995">
        <v>0.01182949</v>
      </c>
      <c r="K995">
        <v>1543</v>
      </c>
      <c r="L995">
        <v>3020099.69</v>
      </c>
      <c r="M995">
        <v>38522.73</v>
      </c>
      <c r="N995">
        <v>1761.75</v>
      </c>
      <c r="O995">
        <v>2718380.25</v>
      </c>
      <c r="P995">
        <v>32157.05</v>
      </c>
      <c r="Q995">
        <v>0</v>
      </c>
      <c r="R995">
        <v>0</v>
      </c>
      <c r="S995">
        <v>0.016</v>
      </c>
      <c r="T995" t="s">
        <v>25</v>
      </c>
    </row>
    <row r="996" spans="1:20" ht="15">
      <c r="A996" t="s">
        <v>19</v>
      </c>
      <c r="B996" t="s">
        <v>20</v>
      </c>
      <c r="C996" t="str">
        <f t="shared" si="15"/>
        <v>31-Dec-21</v>
      </c>
      <c r="D996" t="s">
        <v>21</v>
      </c>
      <c r="E996" t="s">
        <v>22</v>
      </c>
      <c r="F996" t="str">
        <f>"6206051"</f>
        <v>6206051</v>
      </c>
      <c r="G996" t="s">
        <v>1028</v>
      </c>
      <c r="I996" t="s">
        <v>856</v>
      </c>
      <c r="J996">
        <v>0.01182949</v>
      </c>
      <c r="K996">
        <v>38988</v>
      </c>
      <c r="L996">
        <v>9378993.85</v>
      </c>
      <c r="M996">
        <v>121139.48</v>
      </c>
      <c r="N996">
        <v>715.35</v>
      </c>
      <c r="O996">
        <v>27890065.8</v>
      </c>
      <c r="P996">
        <v>329925.24</v>
      </c>
      <c r="Q996">
        <v>0</v>
      </c>
      <c r="R996">
        <v>0</v>
      </c>
      <c r="S996">
        <v>0.164</v>
      </c>
      <c r="T996" t="s">
        <v>25</v>
      </c>
    </row>
    <row r="997" spans="1:20" ht="15">
      <c r="A997" t="s">
        <v>19</v>
      </c>
      <c r="B997" t="s">
        <v>20</v>
      </c>
      <c r="C997" t="str">
        <f t="shared" si="15"/>
        <v>31-Dec-21</v>
      </c>
      <c r="D997" t="s">
        <v>21</v>
      </c>
      <c r="E997" t="s">
        <v>22</v>
      </c>
      <c r="F997" t="str">
        <f>"BL6CR27"</f>
        <v>BL6CR27</v>
      </c>
      <c r="G997" t="s">
        <v>1029</v>
      </c>
      <c r="I997" t="s">
        <v>856</v>
      </c>
      <c r="J997">
        <v>0.01182949</v>
      </c>
      <c r="K997">
        <v>85430</v>
      </c>
      <c r="L997">
        <v>18057135.94</v>
      </c>
      <c r="M997">
        <v>242836.29</v>
      </c>
      <c r="N997">
        <v>13.7</v>
      </c>
      <c r="O997">
        <v>1170391</v>
      </c>
      <c r="P997">
        <v>13845.13</v>
      </c>
      <c r="Q997">
        <v>0</v>
      </c>
      <c r="R997">
        <v>0</v>
      </c>
      <c r="S997">
        <v>0.007</v>
      </c>
      <c r="T997" t="s">
        <v>25</v>
      </c>
    </row>
    <row r="998" spans="1:20" ht="15">
      <c r="A998" t="s">
        <v>19</v>
      </c>
      <c r="B998" t="s">
        <v>20</v>
      </c>
      <c r="C998" t="str">
        <f t="shared" si="15"/>
        <v>31-Dec-21</v>
      </c>
      <c r="D998" t="s">
        <v>21</v>
      </c>
      <c r="E998" t="s">
        <v>22</v>
      </c>
      <c r="F998" t="str">
        <f>"6188535"</f>
        <v>6188535</v>
      </c>
      <c r="G998" t="s">
        <v>1030</v>
      </c>
      <c r="I998" t="s">
        <v>856</v>
      </c>
      <c r="J998">
        <v>0.01182949</v>
      </c>
      <c r="K998">
        <v>28525</v>
      </c>
      <c r="L998">
        <v>10014734.02</v>
      </c>
      <c r="M998">
        <v>134851.55</v>
      </c>
      <c r="N998">
        <v>320.8</v>
      </c>
      <c r="O998">
        <v>9150820</v>
      </c>
      <c r="P998">
        <v>108249.53</v>
      </c>
      <c r="Q998">
        <v>0</v>
      </c>
      <c r="R998">
        <v>0</v>
      </c>
      <c r="S998">
        <v>0.054</v>
      </c>
      <c r="T998" t="s">
        <v>25</v>
      </c>
    </row>
    <row r="999" spans="1:20" ht="15">
      <c r="A999" t="s">
        <v>19</v>
      </c>
      <c r="B999" t="s">
        <v>20</v>
      </c>
      <c r="C999" t="str">
        <f t="shared" si="15"/>
        <v>31-Dec-21</v>
      </c>
      <c r="D999" t="s">
        <v>21</v>
      </c>
      <c r="E999" t="s">
        <v>22</v>
      </c>
      <c r="F999" t="str">
        <f>"BL6P210"</f>
        <v>BL6P210</v>
      </c>
      <c r="G999" t="s">
        <v>1031</v>
      </c>
      <c r="I999" t="s">
        <v>856</v>
      </c>
      <c r="J999">
        <v>0.01182949</v>
      </c>
      <c r="K999">
        <v>19171</v>
      </c>
      <c r="L999">
        <v>2615112.01</v>
      </c>
      <c r="M999">
        <v>30486.05</v>
      </c>
      <c r="N999">
        <v>137.4</v>
      </c>
      <c r="O999">
        <v>2634095.4</v>
      </c>
      <c r="P999">
        <v>31160</v>
      </c>
      <c r="Q999">
        <v>0</v>
      </c>
      <c r="R999">
        <v>0</v>
      </c>
      <c r="S999">
        <v>0.015</v>
      </c>
      <c r="T999" t="s">
        <v>25</v>
      </c>
    </row>
    <row r="1000" spans="1:20" ht="15">
      <c r="A1000" t="s">
        <v>19</v>
      </c>
      <c r="B1000" t="s">
        <v>20</v>
      </c>
      <c r="C1000" t="str">
        <f t="shared" si="15"/>
        <v>31-Dec-21</v>
      </c>
      <c r="D1000" t="s">
        <v>21</v>
      </c>
      <c r="E1000" t="s">
        <v>39</v>
      </c>
      <c r="I1000" t="s">
        <v>856</v>
      </c>
      <c r="J1000">
        <v>0.01182949</v>
      </c>
      <c r="K1000">
        <v>0</v>
      </c>
      <c r="L1000">
        <v>19470964.42</v>
      </c>
      <c r="M1000">
        <v>227158.35</v>
      </c>
      <c r="N1000">
        <v>0</v>
      </c>
      <c r="O1000">
        <v>19470964.42</v>
      </c>
      <c r="P1000">
        <v>230331.56</v>
      </c>
      <c r="Q1000">
        <v>0</v>
      </c>
      <c r="R1000">
        <v>0</v>
      </c>
      <c r="S1000">
        <v>0.114</v>
      </c>
      <c r="T1000" t="s">
        <v>1032</v>
      </c>
    </row>
    <row r="1001" spans="1:20" ht="15">
      <c r="A1001" t="s">
        <v>19</v>
      </c>
      <c r="B1001" t="s">
        <v>20</v>
      </c>
      <c r="C1001" t="str">
        <f t="shared" si="15"/>
        <v>31-Dec-21</v>
      </c>
      <c r="D1001" t="s">
        <v>21</v>
      </c>
      <c r="E1001" t="s">
        <v>22</v>
      </c>
      <c r="F1001" t="str">
        <f>"6890302"</f>
        <v>6890302</v>
      </c>
      <c r="G1001" t="s">
        <v>1033</v>
      </c>
      <c r="I1001" t="s">
        <v>1034</v>
      </c>
      <c r="J1001">
        <v>2.909355819</v>
      </c>
      <c r="K1001">
        <v>42612</v>
      </c>
      <c r="L1001">
        <v>24473.71</v>
      </c>
      <c r="M1001">
        <v>69958.16</v>
      </c>
      <c r="N1001">
        <v>0.945</v>
      </c>
      <c r="O1001">
        <v>40268.34</v>
      </c>
      <c r="P1001">
        <v>117154.93</v>
      </c>
      <c r="Q1001">
        <v>0</v>
      </c>
      <c r="R1001">
        <v>0</v>
      </c>
      <c r="S1001">
        <v>0.058</v>
      </c>
      <c r="T1001" t="s">
        <v>25</v>
      </c>
    </row>
    <row r="1002" spans="1:20" ht="15">
      <c r="A1002" t="s">
        <v>19</v>
      </c>
      <c r="B1002" t="s">
        <v>20</v>
      </c>
      <c r="C1002" t="str">
        <f t="shared" si="15"/>
        <v>31-Dec-21</v>
      </c>
      <c r="D1002" t="s">
        <v>21</v>
      </c>
      <c r="E1002" t="s">
        <v>22</v>
      </c>
      <c r="F1002" t="str">
        <f>"B17M2Q5"</f>
        <v>B17M2Q5</v>
      </c>
      <c r="G1002" t="s">
        <v>1035</v>
      </c>
      <c r="I1002" t="s">
        <v>1034</v>
      </c>
      <c r="J1002">
        <v>2.909355819</v>
      </c>
      <c r="K1002">
        <v>220839</v>
      </c>
      <c r="L1002">
        <v>45845.66</v>
      </c>
      <c r="M1002">
        <v>133413.38</v>
      </c>
      <c r="N1002">
        <v>0.278</v>
      </c>
      <c r="O1002">
        <v>61393.24</v>
      </c>
      <c r="P1002">
        <v>178614.78</v>
      </c>
      <c r="Q1002">
        <v>0</v>
      </c>
      <c r="R1002">
        <v>0</v>
      </c>
      <c r="S1002">
        <v>0.089</v>
      </c>
      <c r="T1002" t="s">
        <v>25</v>
      </c>
    </row>
    <row r="1003" spans="1:20" ht="15">
      <c r="A1003" t="s">
        <v>19</v>
      </c>
      <c r="B1003" t="s">
        <v>20</v>
      </c>
      <c r="C1003" t="str">
        <f t="shared" si="15"/>
        <v>31-Dec-21</v>
      </c>
      <c r="D1003" t="s">
        <v>21</v>
      </c>
      <c r="E1003" t="s">
        <v>22</v>
      </c>
      <c r="F1003" t="str">
        <f>"B15DYL9"</f>
        <v>B15DYL9</v>
      </c>
      <c r="G1003" t="s">
        <v>1036</v>
      </c>
      <c r="I1003" t="s">
        <v>1034</v>
      </c>
      <c r="J1003">
        <v>2.909355819</v>
      </c>
      <c r="K1003">
        <v>37087</v>
      </c>
      <c r="L1003">
        <v>17316.42</v>
      </c>
      <c r="M1003">
        <v>49594.98</v>
      </c>
      <c r="N1003">
        <v>0.79</v>
      </c>
      <c r="O1003">
        <v>29298.73</v>
      </c>
      <c r="P1003">
        <v>85240.43</v>
      </c>
      <c r="Q1003">
        <v>0</v>
      </c>
      <c r="R1003">
        <v>0</v>
      </c>
      <c r="S1003">
        <v>0.042</v>
      </c>
      <c r="T1003" t="s">
        <v>25</v>
      </c>
    </row>
    <row r="1004" spans="1:20" ht="15">
      <c r="A1004" t="s">
        <v>19</v>
      </c>
      <c r="B1004" t="s">
        <v>20</v>
      </c>
      <c r="C1004" t="str">
        <f t="shared" si="15"/>
        <v>31-Dec-21</v>
      </c>
      <c r="D1004" t="s">
        <v>21</v>
      </c>
      <c r="E1004" t="s">
        <v>22</v>
      </c>
      <c r="F1004" t="str">
        <f>"6000208"</f>
        <v>6000208</v>
      </c>
      <c r="G1004" t="s">
        <v>1037</v>
      </c>
      <c r="I1004" t="s">
        <v>1034</v>
      </c>
      <c r="J1004">
        <v>2.909355819</v>
      </c>
      <c r="K1004">
        <v>11789</v>
      </c>
      <c r="L1004">
        <v>11850.01</v>
      </c>
      <c r="M1004">
        <v>33711.23</v>
      </c>
      <c r="N1004">
        <v>0.852</v>
      </c>
      <c r="O1004">
        <v>10044.23</v>
      </c>
      <c r="P1004">
        <v>29222.24</v>
      </c>
      <c r="Q1004">
        <v>0</v>
      </c>
      <c r="R1004">
        <v>0</v>
      </c>
      <c r="S1004">
        <v>0.014</v>
      </c>
      <c r="T1004" t="s">
        <v>25</v>
      </c>
    </row>
    <row r="1005" spans="1:20" ht="15">
      <c r="A1005" t="s">
        <v>19</v>
      </c>
      <c r="B1005" t="s">
        <v>20</v>
      </c>
      <c r="C1005" t="str">
        <f t="shared" si="15"/>
        <v>31-Dec-21</v>
      </c>
      <c r="D1005" t="s">
        <v>21</v>
      </c>
      <c r="E1005" t="s">
        <v>22</v>
      </c>
      <c r="F1005" t="str">
        <f>"6155818"</f>
        <v>6155818</v>
      </c>
      <c r="G1005" t="s">
        <v>1038</v>
      </c>
      <c r="I1005" t="s">
        <v>1034</v>
      </c>
      <c r="J1005">
        <v>2.909355819</v>
      </c>
      <c r="K1005">
        <v>2671</v>
      </c>
      <c r="L1005">
        <v>771.62</v>
      </c>
      <c r="M1005">
        <v>2311.19</v>
      </c>
      <c r="N1005">
        <v>0.251</v>
      </c>
      <c r="O1005">
        <v>670.42</v>
      </c>
      <c r="P1005">
        <v>1950.49</v>
      </c>
      <c r="Q1005">
        <v>0</v>
      </c>
      <c r="R1005">
        <v>0</v>
      </c>
      <c r="S1005">
        <v>0.001</v>
      </c>
      <c r="T1005" t="s">
        <v>25</v>
      </c>
    </row>
    <row r="1006" spans="1:20" ht="15">
      <c r="A1006" t="s">
        <v>19</v>
      </c>
      <c r="B1006" t="s">
        <v>20</v>
      </c>
      <c r="C1006" t="str">
        <f t="shared" si="15"/>
        <v>31-Dec-21</v>
      </c>
      <c r="D1006" t="s">
        <v>21</v>
      </c>
      <c r="E1006" t="s">
        <v>22</v>
      </c>
      <c r="F1006" t="str">
        <f>"6889515"</f>
        <v>6889515</v>
      </c>
      <c r="G1006" t="s">
        <v>1039</v>
      </c>
      <c r="I1006" t="s">
        <v>1034</v>
      </c>
      <c r="J1006">
        <v>2.909355819</v>
      </c>
      <c r="K1006">
        <v>78949</v>
      </c>
      <c r="L1006">
        <v>22861.89</v>
      </c>
      <c r="M1006">
        <v>66495.94</v>
      </c>
      <c r="N1006">
        <v>0.279</v>
      </c>
      <c r="O1006">
        <v>22026.77</v>
      </c>
      <c r="P1006">
        <v>64083.71</v>
      </c>
      <c r="Q1006">
        <v>0</v>
      </c>
      <c r="R1006">
        <v>0</v>
      </c>
      <c r="S1006">
        <v>0.032</v>
      </c>
      <c r="T1006" t="s">
        <v>25</v>
      </c>
    </row>
    <row r="1007" spans="1:20" ht="15">
      <c r="A1007" t="s">
        <v>19</v>
      </c>
      <c r="B1007" t="s">
        <v>20</v>
      </c>
      <c r="C1007" t="str">
        <f t="shared" si="15"/>
        <v>31-Dec-21</v>
      </c>
      <c r="D1007" t="s">
        <v>21</v>
      </c>
      <c r="E1007" t="s">
        <v>22</v>
      </c>
      <c r="F1007" t="str">
        <f>"B13BYX7"</f>
        <v>B13BYX7</v>
      </c>
      <c r="G1007" t="s">
        <v>1040</v>
      </c>
      <c r="I1007" t="s">
        <v>1034</v>
      </c>
      <c r="J1007">
        <v>2.909355819</v>
      </c>
      <c r="K1007">
        <v>4273</v>
      </c>
      <c r="L1007">
        <v>14213.97</v>
      </c>
      <c r="M1007">
        <v>40383.99</v>
      </c>
      <c r="N1007">
        <v>3.224</v>
      </c>
      <c r="O1007">
        <v>13776.15</v>
      </c>
      <c r="P1007">
        <v>40079.72</v>
      </c>
      <c r="Q1007">
        <v>0</v>
      </c>
      <c r="R1007">
        <v>0</v>
      </c>
      <c r="S1007">
        <v>0.02</v>
      </c>
      <c r="T1007" t="s">
        <v>25</v>
      </c>
    </row>
    <row r="1008" spans="1:20" ht="15">
      <c r="A1008" t="s">
        <v>19</v>
      </c>
      <c r="B1008" t="s">
        <v>20</v>
      </c>
      <c r="C1008" t="str">
        <f t="shared" si="15"/>
        <v>31-Dec-21</v>
      </c>
      <c r="D1008" t="s">
        <v>21</v>
      </c>
      <c r="E1008" t="s">
        <v>22</v>
      </c>
      <c r="F1008" t="str">
        <f>"6503138"</f>
        <v>6503138</v>
      </c>
      <c r="G1008" t="s">
        <v>1041</v>
      </c>
      <c r="I1008" t="s">
        <v>1034</v>
      </c>
      <c r="J1008">
        <v>2.909355819</v>
      </c>
      <c r="K1008">
        <v>145063</v>
      </c>
      <c r="L1008">
        <v>71219.65</v>
      </c>
      <c r="M1008">
        <v>203563.62</v>
      </c>
      <c r="N1008">
        <v>0.832</v>
      </c>
      <c r="O1008">
        <v>120692.42</v>
      </c>
      <c r="P1008">
        <v>351137.19</v>
      </c>
      <c r="Q1008">
        <v>0</v>
      </c>
      <c r="R1008">
        <v>0</v>
      </c>
      <c r="S1008">
        <v>0.174</v>
      </c>
      <c r="T1008" t="s">
        <v>25</v>
      </c>
    </row>
    <row r="1009" spans="1:20" ht="15">
      <c r="A1009" t="s">
        <v>19</v>
      </c>
      <c r="B1009" t="s">
        <v>20</v>
      </c>
      <c r="C1009" t="str">
        <f t="shared" si="15"/>
        <v>31-Dec-21</v>
      </c>
      <c r="D1009" t="s">
        <v>21</v>
      </c>
      <c r="E1009" t="s">
        <v>22</v>
      </c>
      <c r="F1009" t="str">
        <f>"B00PQY0"</f>
        <v>B00PQY0</v>
      </c>
      <c r="G1009" t="s">
        <v>1042</v>
      </c>
      <c r="I1009" t="s">
        <v>1034</v>
      </c>
      <c r="J1009">
        <v>2.909355819</v>
      </c>
      <c r="K1009">
        <v>18525</v>
      </c>
      <c r="L1009">
        <v>10473.99</v>
      </c>
      <c r="M1009">
        <v>30497.36</v>
      </c>
      <c r="N1009">
        <v>0.793</v>
      </c>
      <c r="O1009">
        <v>14690.33</v>
      </c>
      <c r="P1009">
        <v>42739.4</v>
      </c>
      <c r="Q1009">
        <v>0</v>
      </c>
      <c r="R1009">
        <v>0</v>
      </c>
      <c r="S1009">
        <v>0.021</v>
      </c>
      <c r="T1009" t="s">
        <v>25</v>
      </c>
    </row>
    <row r="1010" spans="1:20" ht="15">
      <c r="A1010" t="s">
        <v>19</v>
      </c>
      <c r="B1010" t="s">
        <v>20</v>
      </c>
      <c r="C1010" t="str">
        <f t="shared" si="15"/>
        <v>31-Dec-21</v>
      </c>
      <c r="D1010" t="s">
        <v>21</v>
      </c>
      <c r="E1010" t="s">
        <v>22</v>
      </c>
      <c r="F1010" t="str">
        <f>"6600084"</f>
        <v>6600084</v>
      </c>
      <c r="G1010" t="s">
        <v>1043</v>
      </c>
      <c r="I1010" t="s">
        <v>1034</v>
      </c>
      <c r="J1010">
        <v>2.909355819</v>
      </c>
      <c r="K1010">
        <v>72049</v>
      </c>
      <c r="L1010">
        <v>34391.2</v>
      </c>
      <c r="M1010">
        <v>98606</v>
      </c>
      <c r="N1010">
        <v>0.595</v>
      </c>
      <c r="O1010">
        <v>42869.16</v>
      </c>
      <c r="P1010">
        <v>124721.64</v>
      </c>
      <c r="Q1010">
        <v>0</v>
      </c>
      <c r="R1010">
        <v>0</v>
      </c>
      <c r="S1010">
        <v>0.062</v>
      </c>
      <c r="T1010" t="s">
        <v>25</v>
      </c>
    </row>
    <row r="1011" spans="1:20" ht="15">
      <c r="A1011" t="s">
        <v>19</v>
      </c>
      <c r="B1011" t="s">
        <v>20</v>
      </c>
      <c r="C1011" t="str">
        <f t="shared" si="15"/>
        <v>31-Dec-21</v>
      </c>
      <c r="D1011" t="s">
        <v>21</v>
      </c>
      <c r="E1011" t="s">
        <v>22</v>
      </c>
      <c r="F1011" t="str">
        <f>"6889526"</f>
        <v>6889526</v>
      </c>
      <c r="G1011" t="s">
        <v>1044</v>
      </c>
      <c r="I1011" t="s">
        <v>1034</v>
      </c>
      <c r="J1011">
        <v>2.909355819</v>
      </c>
      <c r="K1011">
        <v>208483</v>
      </c>
      <c r="L1011">
        <v>160356.85</v>
      </c>
      <c r="M1011">
        <v>463019.24</v>
      </c>
      <c r="N1011">
        <v>0.997</v>
      </c>
      <c r="O1011">
        <v>207857.55</v>
      </c>
      <c r="P1011">
        <v>604731.57</v>
      </c>
      <c r="Q1011">
        <v>0</v>
      </c>
      <c r="R1011">
        <v>0</v>
      </c>
      <c r="S1011">
        <v>0.3</v>
      </c>
      <c r="T1011" t="s">
        <v>25</v>
      </c>
    </row>
    <row r="1012" spans="1:20" ht="15">
      <c r="A1012" t="s">
        <v>19</v>
      </c>
      <c r="B1012" t="s">
        <v>20</v>
      </c>
      <c r="C1012" t="str">
        <f t="shared" si="15"/>
        <v>31-Dec-21</v>
      </c>
      <c r="D1012" t="s">
        <v>21</v>
      </c>
      <c r="E1012" t="s">
        <v>39</v>
      </c>
      <c r="I1012" t="s">
        <v>1034</v>
      </c>
      <c r="J1012">
        <v>2.909355819</v>
      </c>
      <c r="K1012">
        <v>0</v>
      </c>
      <c r="L1012">
        <v>16696.79</v>
      </c>
      <c r="M1012">
        <v>48731.42</v>
      </c>
      <c r="N1012">
        <v>0</v>
      </c>
      <c r="O1012">
        <v>16696.79</v>
      </c>
      <c r="P1012">
        <v>48576.9</v>
      </c>
      <c r="Q1012">
        <v>0</v>
      </c>
      <c r="R1012">
        <v>0</v>
      </c>
      <c r="S1012">
        <v>0.024</v>
      </c>
      <c r="T1012" t="s">
        <v>40</v>
      </c>
    </row>
    <row r="1013" spans="1:20" ht="15">
      <c r="A1013" t="s">
        <v>19</v>
      </c>
      <c r="B1013" t="s">
        <v>20</v>
      </c>
      <c r="C1013" t="str">
        <f t="shared" si="15"/>
        <v>31-Dec-21</v>
      </c>
      <c r="D1013" t="s">
        <v>21</v>
      </c>
      <c r="E1013" t="s">
        <v>22</v>
      </c>
      <c r="F1013" t="str">
        <f>"2043423"</f>
        <v>2043423</v>
      </c>
      <c r="G1013" t="s">
        <v>1045</v>
      </c>
      <c r="I1013" t="s">
        <v>1046</v>
      </c>
      <c r="J1013">
        <v>0.042968619</v>
      </c>
      <c r="K1013">
        <v>53156</v>
      </c>
      <c r="L1013">
        <v>1431882.67</v>
      </c>
      <c r="M1013">
        <v>77352.9</v>
      </c>
      <c r="N1013">
        <v>15.02</v>
      </c>
      <c r="O1013">
        <v>798403.12</v>
      </c>
      <c r="P1013">
        <v>34306.28</v>
      </c>
      <c r="Q1013">
        <v>0</v>
      </c>
      <c r="R1013">
        <v>0</v>
      </c>
      <c r="S1013">
        <v>0.017</v>
      </c>
      <c r="T1013" t="s">
        <v>25</v>
      </c>
    </row>
    <row r="1014" spans="1:20" ht="15">
      <c r="A1014" t="s">
        <v>19</v>
      </c>
      <c r="B1014" t="s">
        <v>20</v>
      </c>
      <c r="C1014" t="str">
        <f t="shared" si="15"/>
        <v>31-Dec-21</v>
      </c>
      <c r="D1014" t="s">
        <v>21</v>
      </c>
      <c r="E1014" t="s">
        <v>22</v>
      </c>
      <c r="F1014" t="str">
        <f>"2667470"</f>
        <v>2667470</v>
      </c>
      <c r="G1014" t="s">
        <v>1047</v>
      </c>
      <c r="I1014" t="s">
        <v>1046</v>
      </c>
      <c r="J1014">
        <v>0.042968619</v>
      </c>
      <c r="K1014">
        <v>941044</v>
      </c>
      <c r="L1014">
        <v>13685701.7</v>
      </c>
      <c r="M1014">
        <v>658733.46</v>
      </c>
      <c r="N1014">
        <v>21.69</v>
      </c>
      <c r="O1014">
        <v>20411244.36</v>
      </c>
      <c r="P1014">
        <v>877042.99</v>
      </c>
      <c r="Q1014">
        <v>0</v>
      </c>
      <c r="R1014">
        <v>0</v>
      </c>
      <c r="S1014">
        <v>0.435</v>
      </c>
      <c r="T1014" t="s">
        <v>25</v>
      </c>
    </row>
    <row r="1015" spans="1:20" ht="15">
      <c r="A1015" t="s">
        <v>19</v>
      </c>
      <c r="B1015" t="s">
        <v>20</v>
      </c>
      <c r="C1015" t="str">
        <f t="shared" si="15"/>
        <v>31-Dec-21</v>
      </c>
      <c r="D1015" t="s">
        <v>21</v>
      </c>
      <c r="E1015" t="s">
        <v>22</v>
      </c>
      <c r="F1015" t="str">
        <f>"2823885"</f>
        <v>2823885</v>
      </c>
      <c r="G1015" t="s">
        <v>1048</v>
      </c>
      <c r="I1015" t="s">
        <v>1046</v>
      </c>
      <c r="J1015">
        <v>0.042968619</v>
      </c>
      <c r="K1015">
        <v>15216</v>
      </c>
      <c r="L1015">
        <v>1553265.47</v>
      </c>
      <c r="M1015">
        <v>68745.69</v>
      </c>
      <c r="N1015">
        <v>130.52</v>
      </c>
      <c r="O1015">
        <v>1985992.32</v>
      </c>
      <c r="P1015">
        <v>85335.35</v>
      </c>
      <c r="Q1015">
        <v>0</v>
      </c>
      <c r="R1015">
        <v>0</v>
      </c>
      <c r="S1015">
        <v>0.042</v>
      </c>
      <c r="T1015" t="s">
        <v>25</v>
      </c>
    </row>
    <row r="1016" spans="1:20" ht="15">
      <c r="A1016" t="s">
        <v>19</v>
      </c>
      <c r="B1016" t="s">
        <v>20</v>
      </c>
      <c r="C1016" t="str">
        <f t="shared" si="15"/>
        <v>31-Dec-21</v>
      </c>
      <c r="D1016" t="s">
        <v>21</v>
      </c>
      <c r="E1016" t="s">
        <v>22</v>
      </c>
      <c r="F1016" t="str">
        <f>"BYM4063"</f>
        <v>BYM4063</v>
      </c>
      <c r="G1016" t="s">
        <v>1049</v>
      </c>
      <c r="I1016" t="s">
        <v>1046</v>
      </c>
      <c r="J1016">
        <v>0.042968619</v>
      </c>
      <c r="K1016">
        <v>14615</v>
      </c>
      <c r="L1016">
        <v>529535.26</v>
      </c>
      <c r="M1016">
        <v>23910.81</v>
      </c>
      <c r="N1016">
        <v>51.36</v>
      </c>
      <c r="O1016">
        <v>750626.4</v>
      </c>
      <c r="P1016">
        <v>32253.38</v>
      </c>
      <c r="Q1016">
        <v>0</v>
      </c>
      <c r="R1016">
        <v>0</v>
      </c>
      <c r="S1016">
        <v>0.016</v>
      </c>
      <c r="T1016" t="s">
        <v>25</v>
      </c>
    </row>
    <row r="1017" spans="1:20" ht="15">
      <c r="A1017" t="s">
        <v>19</v>
      </c>
      <c r="B1017" t="s">
        <v>20</v>
      </c>
      <c r="C1017" t="str">
        <f t="shared" si="15"/>
        <v>31-Dec-21</v>
      </c>
      <c r="D1017" t="s">
        <v>21</v>
      </c>
      <c r="E1017" t="s">
        <v>22</v>
      </c>
      <c r="F1017" t="str">
        <f>"2406457"</f>
        <v>2406457</v>
      </c>
      <c r="G1017" t="s">
        <v>1050</v>
      </c>
      <c r="I1017" t="s">
        <v>1046</v>
      </c>
      <c r="J1017">
        <v>0.042968619</v>
      </c>
      <c r="K1017">
        <v>493812</v>
      </c>
      <c r="L1017">
        <v>6216892.99</v>
      </c>
      <c r="M1017">
        <v>316551.21</v>
      </c>
      <c r="N1017">
        <v>13.99</v>
      </c>
      <c r="O1017">
        <v>6908429.88</v>
      </c>
      <c r="P1017">
        <v>296845.69</v>
      </c>
      <c r="Q1017">
        <v>0</v>
      </c>
      <c r="R1017">
        <v>0</v>
      </c>
      <c r="S1017">
        <v>0.147</v>
      </c>
      <c r="T1017" t="s">
        <v>25</v>
      </c>
    </row>
    <row r="1018" spans="1:20" ht="15">
      <c r="A1018" t="s">
        <v>19</v>
      </c>
      <c r="B1018" t="s">
        <v>20</v>
      </c>
      <c r="C1018" t="str">
        <f t="shared" si="15"/>
        <v>31-Dec-21</v>
      </c>
      <c r="D1018" t="s">
        <v>21</v>
      </c>
      <c r="E1018" t="s">
        <v>22</v>
      </c>
      <c r="F1018" t="str">
        <f>"BHHP0S4"</f>
        <v>BHHP0S4</v>
      </c>
      <c r="G1018" t="s">
        <v>1051</v>
      </c>
      <c r="I1018" t="s">
        <v>1046</v>
      </c>
      <c r="J1018">
        <v>0.042968619</v>
      </c>
      <c r="K1018">
        <v>18619</v>
      </c>
      <c r="L1018">
        <v>2475523.9</v>
      </c>
      <c r="M1018">
        <v>125705.43</v>
      </c>
      <c r="N1018">
        <v>111.7</v>
      </c>
      <c r="O1018">
        <v>2079742.3</v>
      </c>
      <c r="P1018">
        <v>89363.66</v>
      </c>
      <c r="Q1018">
        <v>0</v>
      </c>
      <c r="R1018">
        <v>0</v>
      </c>
      <c r="S1018">
        <v>0.044</v>
      </c>
      <c r="T1018" t="s">
        <v>25</v>
      </c>
    </row>
    <row r="1019" spans="1:20" ht="15">
      <c r="A1019" t="s">
        <v>19</v>
      </c>
      <c r="B1019" t="s">
        <v>20</v>
      </c>
      <c r="C1019" t="str">
        <f t="shared" si="15"/>
        <v>31-Dec-21</v>
      </c>
      <c r="D1019" t="s">
        <v>21</v>
      </c>
      <c r="E1019" t="s">
        <v>22</v>
      </c>
      <c r="F1019" t="str">
        <f>"BFN0V08"</f>
        <v>BFN0V08</v>
      </c>
      <c r="G1019" t="s">
        <v>1052</v>
      </c>
      <c r="I1019" t="s">
        <v>1046</v>
      </c>
      <c r="J1019">
        <v>0.042968619</v>
      </c>
      <c r="K1019">
        <v>15016</v>
      </c>
      <c r="L1019">
        <v>432034.57</v>
      </c>
      <c r="M1019">
        <v>20443.48</v>
      </c>
      <c r="N1019">
        <v>23.1</v>
      </c>
      <c r="O1019">
        <v>346869.6</v>
      </c>
      <c r="P1019">
        <v>14904.51</v>
      </c>
      <c r="Q1019">
        <v>0</v>
      </c>
      <c r="R1019">
        <v>0</v>
      </c>
      <c r="S1019">
        <v>0.007</v>
      </c>
      <c r="T1019" t="s">
        <v>25</v>
      </c>
    </row>
    <row r="1020" spans="1:20" ht="15">
      <c r="A1020" t="s">
        <v>19</v>
      </c>
      <c r="B1020" t="s">
        <v>20</v>
      </c>
      <c r="C1020" t="str">
        <f t="shared" si="15"/>
        <v>31-Dec-21</v>
      </c>
      <c r="D1020" t="s">
        <v>21</v>
      </c>
      <c r="E1020" t="s">
        <v>22</v>
      </c>
      <c r="F1020" t="str">
        <f>"BDZDPH6"</f>
        <v>BDZDPH6</v>
      </c>
      <c r="G1020" t="s">
        <v>1053</v>
      </c>
      <c r="I1020" t="s">
        <v>1046</v>
      </c>
      <c r="J1020">
        <v>0.042968619</v>
      </c>
      <c r="K1020">
        <v>20000</v>
      </c>
      <c r="L1020">
        <v>701236.49</v>
      </c>
      <c r="M1020">
        <v>29740.51</v>
      </c>
      <c r="N1020">
        <v>36.74</v>
      </c>
      <c r="O1020">
        <v>734800</v>
      </c>
      <c r="P1020">
        <v>31573.34</v>
      </c>
      <c r="Q1020">
        <v>0</v>
      </c>
      <c r="R1020">
        <v>0</v>
      </c>
      <c r="S1020">
        <v>0.016</v>
      </c>
      <c r="T1020" t="s">
        <v>25</v>
      </c>
    </row>
    <row r="1021" spans="1:20" ht="15">
      <c r="A1021" t="s">
        <v>19</v>
      </c>
      <c r="B1021" t="s">
        <v>20</v>
      </c>
      <c r="C1021" t="str">
        <f t="shared" si="15"/>
        <v>31-Dec-21</v>
      </c>
      <c r="D1021" t="s">
        <v>21</v>
      </c>
      <c r="E1021" t="s">
        <v>22</v>
      </c>
      <c r="F1021" t="str">
        <f>"2306814"</f>
        <v>2306814</v>
      </c>
      <c r="G1021" t="s">
        <v>1054</v>
      </c>
      <c r="I1021" t="s">
        <v>1046</v>
      </c>
      <c r="J1021">
        <v>0.042968619</v>
      </c>
      <c r="K1021">
        <v>7808</v>
      </c>
      <c r="L1021">
        <v>1670124.14</v>
      </c>
      <c r="M1021">
        <v>88229.27</v>
      </c>
      <c r="N1021">
        <v>88.76</v>
      </c>
      <c r="O1021">
        <v>693038.08</v>
      </c>
      <c r="P1021">
        <v>29778.89</v>
      </c>
      <c r="Q1021">
        <v>0</v>
      </c>
      <c r="R1021">
        <v>0</v>
      </c>
      <c r="S1021">
        <v>0.015</v>
      </c>
      <c r="T1021" t="s">
        <v>25</v>
      </c>
    </row>
    <row r="1022" spans="1:20" ht="15">
      <c r="A1022" t="s">
        <v>19</v>
      </c>
      <c r="B1022" t="s">
        <v>20</v>
      </c>
      <c r="C1022" t="str">
        <f t="shared" si="15"/>
        <v>31-Dec-21</v>
      </c>
      <c r="D1022" t="s">
        <v>21</v>
      </c>
      <c r="E1022" t="s">
        <v>22</v>
      </c>
      <c r="F1022" t="str">
        <f>"B671GT8"</f>
        <v>B671GT8</v>
      </c>
      <c r="G1022" t="s">
        <v>1055</v>
      </c>
      <c r="I1022" t="s">
        <v>1046</v>
      </c>
      <c r="J1022">
        <v>0.042968619</v>
      </c>
      <c r="K1022">
        <v>109815</v>
      </c>
      <c r="L1022">
        <v>3961468.8</v>
      </c>
      <c r="M1022">
        <v>212469.96</v>
      </c>
      <c r="N1022">
        <v>21.64</v>
      </c>
      <c r="O1022">
        <v>2376396.6</v>
      </c>
      <c r="P1022">
        <v>102110.48</v>
      </c>
      <c r="Q1022">
        <v>0</v>
      </c>
      <c r="R1022">
        <v>0</v>
      </c>
      <c r="S1022">
        <v>0.051</v>
      </c>
      <c r="T1022" t="s">
        <v>25</v>
      </c>
    </row>
    <row r="1023" spans="1:20" ht="15">
      <c r="A1023" t="s">
        <v>19</v>
      </c>
      <c r="B1023" t="s">
        <v>20</v>
      </c>
      <c r="C1023" t="str">
        <f t="shared" si="15"/>
        <v>31-Dec-21</v>
      </c>
      <c r="D1023" t="s">
        <v>21</v>
      </c>
      <c r="E1023" t="s">
        <v>22</v>
      </c>
      <c r="F1023" t="str">
        <f>"2242059"</f>
        <v>2242059</v>
      </c>
      <c r="G1023" t="s">
        <v>1056</v>
      </c>
      <c r="I1023" t="s">
        <v>1046</v>
      </c>
      <c r="J1023">
        <v>0.042968619</v>
      </c>
      <c r="K1023">
        <v>60263</v>
      </c>
      <c r="L1023">
        <v>8981797.68</v>
      </c>
      <c r="M1023">
        <v>436569.21</v>
      </c>
      <c r="N1023">
        <v>159.32</v>
      </c>
      <c r="O1023">
        <v>9601101.16</v>
      </c>
      <c r="P1023">
        <v>412546.06</v>
      </c>
      <c r="Q1023">
        <v>0</v>
      </c>
      <c r="R1023">
        <v>0</v>
      </c>
      <c r="S1023">
        <v>0.205</v>
      </c>
      <c r="T1023" t="s">
        <v>25</v>
      </c>
    </row>
    <row r="1024" spans="1:20" ht="15">
      <c r="A1024" t="s">
        <v>19</v>
      </c>
      <c r="B1024" t="s">
        <v>20</v>
      </c>
      <c r="C1024" t="str">
        <f t="shared" si="15"/>
        <v>31-Dec-21</v>
      </c>
      <c r="D1024" t="s">
        <v>21</v>
      </c>
      <c r="E1024" t="s">
        <v>22</v>
      </c>
      <c r="F1024" t="str">
        <f>"2946663"</f>
        <v>2946663</v>
      </c>
      <c r="G1024" t="s">
        <v>1057</v>
      </c>
      <c r="I1024" t="s">
        <v>1046</v>
      </c>
      <c r="J1024">
        <v>0.042968619</v>
      </c>
      <c r="K1024">
        <v>5906</v>
      </c>
      <c r="L1024">
        <v>830645.45</v>
      </c>
      <c r="M1024">
        <v>34018.51</v>
      </c>
      <c r="N1024">
        <v>158.45</v>
      </c>
      <c r="O1024">
        <v>935805.7</v>
      </c>
      <c r="P1024">
        <v>40210.28</v>
      </c>
      <c r="Q1024">
        <v>0</v>
      </c>
      <c r="R1024">
        <v>0</v>
      </c>
      <c r="S1024">
        <v>0.02</v>
      </c>
      <c r="T1024" t="s">
        <v>25</v>
      </c>
    </row>
    <row r="1025" spans="1:20" ht="15">
      <c r="A1025" t="s">
        <v>19</v>
      </c>
      <c r="B1025" t="s">
        <v>20</v>
      </c>
      <c r="C1025" t="str">
        <f t="shared" si="15"/>
        <v>31-Dec-21</v>
      </c>
      <c r="D1025" t="s">
        <v>21</v>
      </c>
      <c r="E1025" t="s">
        <v>22</v>
      </c>
      <c r="F1025" t="str">
        <f>"2392545"</f>
        <v>2392545</v>
      </c>
      <c r="G1025" t="s">
        <v>1058</v>
      </c>
      <c r="I1025" t="s">
        <v>1046</v>
      </c>
      <c r="J1025">
        <v>0.042968619</v>
      </c>
      <c r="K1025">
        <v>5474</v>
      </c>
      <c r="L1025">
        <v>1134501.14</v>
      </c>
      <c r="M1025">
        <v>51832.37</v>
      </c>
      <c r="N1025">
        <v>262.52</v>
      </c>
      <c r="O1025">
        <v>1437034.48</v>
      </c>
      <c r="P1025">
        <v>61747.39</v>
      </c>
      <c r="Q1025">
        <v>0</v>
      </c>
      <c r="R1025">
        <v>0</v>
      </c>
      <c r="S1025">
        <v>0.031</v>
      </c>
      <c r="T1025" t="s">
        <v>25</v>
      </c>
    </row>
    <row r="1026" spans="1:20" ht="15">
      <c r="A1026" t="s">
        <v>19</v>
      </c>
      <c r="B1026" t="s">
        <v>20</v>
      </c>
      <c r="C1026" t="str">
        <f aca="true" t="shared" si="16" ref="C1026:C1089">"31-Dec-21"</f>
        <v>31-Dec-21</v>
      </c>
      <c r="D1026" t="s">
        <v>21</v>
      </c>
      <c r="E1026" t="s">
        <v>22</v>
      </c>
      <c r="F1026" t="str">
        <f>"B1KFX13"</f>
        <v>B1KFX13</v>
      </c>
      <c r="G1026" t="s">
        <v>1059</v>
      </c>
      <c r="I1026" t="s">
        <v>1046</v>
      </c>
      <c r="J1026">
        <v>0.042968619</v>
      </c>
      <c r="K1026">
        <v>8442</v>
      </c>
      <c r="L1026">
        <v>926433.56</v>
      </c>
      <c r="M1026">
        <v>43910.77</v>
      </c>
      <c r="N1026">
        <v>137.51</v>
      </c>
      <c r="O1026">
        <v>1160859.42</v>
      </c>
      <c r="P1026">
        <v>49880.53</v>
      </c>
      <c r="Q1026">
        <v>0</v>
      </c>
      <c r="R1026">
        <v>0</v>
      </c>
      <c r="S1026">
        <v>0.025</v>
      </c>
      <c r="T1026" t="s">
        <v>25</v>
      </c>
    </row>
    <row r="1027" spans="1:20" ht="15">
      <c r="A1027" t="s">
        <v>19</v>
      </c>
      <c r="B1027" t="s">
        <v>20</v>
      </c>
      <c r="C1027" t="str">
        <f t="shared" si="16"/>
        <v>31-Dec-21</v>
      </c>
      <c r="D1027" t="s">
        <v>21</v>
      </c>
      <c r="E1027" t="s">
        <v>22</v>
      </c>
      <c r="F1027" t="str">
        <f>"B0ZV104"</f>
        <v>B0ZV104</v>
      </c>
      <c r="G1027" t="s">
        <v>1060</v>
      </c>
      <c r="I1027" t="s">
        <v>1046</v>
      </c>
      <c r="J1027">
        <v>0.042968619</v>
      </c>
      <c r="K1027">
        <v>9813</v>
      </c>
      <c r="L1027">
        <v>1423252.56</v>
      </c>
      <c r="M1027">
        <v>67358.69</v>
      </c>
      <c r="N1027">
        <v>282.16</v>
      </c>
      <c r="O1027">
        <v>2768836.08</v>
      </c>
      <c r="P1027">
        <v>118973.06</v>
      </c>
      <c r="Q1027">
        <v>0</v>
      </c>
      <c r="R1027">
        <v>0</v>
      </c>
      <c r="S1027">
        <v>0.059</v>
      </c>
      <c r="T1027" t="s">
        <v>25</v>
      </c>
    </row>
    <row r="1028" spans="1:20" ht="15">
      <c r="A1028" t="s">
        <v>19</v>
      </c>
      <c r="B1028" t="s">
        <v>20</v>
      </c>
      <c r="C1028" t="str">
        <f t="shared" si="16"/>
        <v>31-Dec-21</v>
      </c>
      <c r="D1028" t="s">
        <v>21</v>
      </c>
      <c r="E1028" t="s">
        <v>22</v>
      </c>
      <c r="F1028" t="str">
        <f>"2639349"</f>
        <v>2639349</v>
      </c>
      <c r="G1028" t="s">
        <v>1061</v>
      </c>
      <c r="I1028" t="s">
        <v>1046</v>
      </c>
      <c r="J1028">
        <v>0.042968619</v>
      </c>
      <c r="K1028">
        <v>7167</v>
      </c>
      <c r="L1028">
        <v>2038245.53</v>
      </c>
      <c r="M1028">
        <v>91877.62</v>
      </c>
      <c r="N1028">
        <v>422.76</v>
      </c>
      <c r="O1028">
        <v>3029920.92</v>
      </c>
      <c r="P1028">
        <v>130191.52</v>
      </c>
      <c r="Q1028">
        <v>0</v>
      </c>
      <c r="R1028">
        <v>0</v>
      </c>
      <c r="S1028">
        <v>0.065</v>
      </c>
      <c r="T1028" t="s">
        <v>25</v>
      </c>
    </row>
    <row r="1029" spans="1:20" ht="15">
      <c r="A1029" t="s">
        <v>19</v>
      </c>
      <c r="B1029" t="s">
        <v>20</v>
      </c>
      <c r="C1029" t="str">
        <f t="shared" si="16"/>
        <v>31-Dec-21</v>
      </c>
      <c r="D1029" t="s">
        <v>21</v>
      </c>
      <c r="E1029" t="s">
        <v>22</v>
      </c>
      <c r="F1029" t="str">
        <f>"2392471"</f>
        <v>2392471</v>
      </c>
      <c r="G1029" t="s">
        <v>1062</v>
      </c>
      <c r="I1029" t="s">
        <v>1046</v>
      </c>
      <c r="J1029">
        <v>0.042968619</v>
      </c>
      <c r="K1029">
        <v>78182</v>
      </c>
      <c r="L1029">
        <v>3352753.92</v>
      </c>
      <c r="M1029">
        <v>174873.09</v>
      </c>
      <c r="N1029">
        <v>62.97</v>
      </c>
      <c r="O1029">
        <v>4923120.54</v>
      </c>
      <c r="P1029">
        <v>211539.69</v>
      </c>
      <c r="Q1029">
        <v>0</v>
      </c>
      <c r="R1029">
        <v>0</v>
      </c>
      <c r="S1029">
        <v>0.105</v>
      </c>
      <c r="T1029" t="s">
        <v>25</v>
      </c>
    </row>
    <row r="1030" spans="1:20" ht="15">
      <c r="A1030" t="s">
        <v>19</v>
      </c>
      <c r="B1030" t="s">
        <v>20</v>
      </c>
      <c r="C1030" t="str">
        <f t="shared" si="16"/>
        <v>31-Dec-21</v>
      </c>
      <c r="D1030" t="s">
        <v>21</v>
      </c>
      <c r="E1030" t="s">
        <v>22</v>
      </c>
      <c r="F1030" t="str">
        <f>"2393452"</f>
        <v>2393452</v>
      </c>
      <c r="G1030" t="s">
        <v>1063</v>
      </c>
      <c r="I1030" t="s">
        <v>1046</v>
      </c>
      <c r="J1030">
        <v>0.042968619</v>
      </c>
      <c r="K1030">
        <v>16718</v>
      </c>
      <c r="L1030">
        <v>1142376.12</v>
      </c>
      <c r="M1030">
        <v>56432.28</v>
      </c>
      <c r="N1030">
        <v>66.19</v>
      </c>
      <c r="O1030">
        <v>1106564.42</v>
      </c>
      <c r="P1030">
        <v>47547.55</v>
      </c>
      <c r="Q1030">
        <v>0</v>
      </c>
      <c r="R1030">
        <v>0</v>
      </c>
      <c r="S1030">
        <v>0.024</v>
      </c>
      <c r="T1030" t="s">
        <v>25</v>
      </c>
    </row>
    <row r="1031" spans="1:20" ht="15">
      <c r="A1031" t="s">
        <v>19</v>
      </c>
      <c r="B1031" t="s">
        <v>20</v>
      </c>
      <c r="C1031" t="str">
        <f t="shared" si="16"/>
        <v>31-Dec-21</v>
      </c>
      <c r="D1031" t="s">
        <v>21</v>
      </c>
      <c r="E1031" t="s">
        <v>22</v>
      </c>
      <c r="F1031" t="str">
        <f>"2967084"</f>
        <v>2967084</v>
      </c>
      <c r="G1031" t="s">
        <v>1064</v>
      </c>
      <c r="I1031" t="s">
        <v>1046</v>
      </c>
      <c r="J1031">
        <v>0.042968619</v>
      </c>
      <c r="K1031">
        <v>1962</v>
      </c>
      <c r="L1031">
        <v>1265892.7</v>
      </c>
      <c r="M1031">
        <v>63509.3</v>
      </c>
      <c r="N1031">
        <v>1550.66</v>
      </c>
      <c r="O1031">
        <v>3042394.92</v>
      </c>
      <c r="P1031">
        <v>130727.51</v>
      </c>
      <c r="Q1031">
        <v>0</v>
      </c>
      <c r="R1031">
        <v>0</v>
      </c>
      <c r="S1031">
        <v>0.065</v>
      </c>
      <c r="T1031" t="s">
        <v>25</v>
      </c>
    </row>
    <row r="1032" spans="1:20" ht="15">
      <c r="A1032" t="s">
        <v>19</v>
      </c>
      <c r="B1032" t="s">
        <v>20</v>
      </c>
      <c r="C1032" t="str">
        <f t="shared" si="16"/>
        <v>31-Dec-21</v>
      </c>
      <c r="D1032" t="s">
        <v>21</v>
      </c>
      <c r="E1032" t="s">
        <v>22</v>
      </c>
      <c r="F1032" t="str">
        <f>"2421041"</f>
        <v>2421041</v>
      </c>
      <c r="G1032" t="s">
        <v>1065</v>
      </c>
      <c r="I1032" t="s">
        <v>1046</v>
      </c>
      <c r="J1032">
        <v>0.042968619</v>
      </c>
      <c r="K1032">
        <v>88001</v>
      </c>
      <c r="L1032">
        <v>8725148.05</v>
      </c>
      <c r="M1032">
        <v>413424.22</v>
      </c>
      <c r="N1032">
        <v>133.02</v>
      </c>
      <c r="O1032">
        <v>11705893.02</v>
      </c>
      <c r="P1032">
        <v>502986.06</v>
      </c>
      <c r="Q1032">
        <v>0</v>
      </c>
      <c r="R1032">
        <v>0</v>
      </c>
      <c r="S1032">
        <v>0.249</v>
      </c>
      <c r="T1032" t="s">
        <v>25</v>
      </c>
    </row>
    <row r="1033" spans="1:20" ht="15">
      <c r="A1033" t="s">
        <v>19</v>
      </c>
      <c r="B1033" t="s">
        <v>20</v>
      </c>
      <c r="C1033" t="str">
        <f t="shared" si="16"/>
        <v>31-Dec-21</v>
      </c>
      <c r="D1033" t="s">
        <v>21</v>
      </c>
      <c r="E1033" t="s">
        <v>22</v>
      </c>
      <c r="F1033" t="str">
        <f>"2822398"</f>
        <v>2822398</v>
      </c>
      <c r="G1033" t="s">
        <v>1066</v>
      </c>
      <c r="I1033" t="s">
        <v>1046</v>
      </c>
      <c r="J1033">
        <v>0.042968619</v>
      </c>
      <c r="K1033">
        <v>32888</v>
      </c>
      <c r="L1033">
        <v>1049687.95</v>
      </c>
      <c r="M1033">
        <v>55969.41</v>
      </c>
      <c r="N1033">
        <v>24.52</v>
      </c>
      <c r="O1033">
        <v>806413.76</v>
      </c>
      <c r="P1033">
        <v>34650.49</v>
      </c>
      <c r="Q1033">
        <v>0</v>
      </c>
      <c r="R1033">
        <v>0</v>
      </c>
      <c r="S1033">
        <v>0.017</v>
      </c>
      <c r="T1033" t="s">
        <v>25</v>
      </c>
    </row>
    <row r="1034" spans="1:20" ht="15">
      <c r="A1034" t="s">
        <v>19</v>
      </c>
      <c r="B1034" t="s">
        <v>20</v>
      </c>
      <c r="C1034" t="str">
        <f t="shared" si="16"/>
        <v>31-Dec-21</v>
      </c>
      <c r="D1034" t="s">
        <v>21</v>
      </c>
      <c r="E1034" t="s">
        <v>22</v>
      </c>
      <c r="F1034" t="str">
        <f>"2643674"</f>
        <v>2643674</v>
      </c>
      <c r="G1034" t="s">
        <v>1067</v>
      </c>
      <c r="I1034" t="s">
        <v>1046</v>
      </c>
      <c r="J1034">
        <v>0.042968619</v>
      </c>
      <c r="K1034">
        <v>104709</v>
      </c>
      <c r="L1034">
        <v>4853059</v>
      </c>
      <c r="M1034">
        <v>238483.2</v>
      </c>
      <c r="N1034">
        <v>89.29</v>
      </c>
      <c r="O1034">
        <v>9349466.61</v>
      </c>
      <c r="P1034">
        <v>401733.67</v>
      </c>
      <c r="Q1034">
        <v>0</v>
      </c>
      <c r="R1034">
        <v>0</v>
      </c>
      <c r="S1034">
        <v>0.199</v>
      </c>
      <c r="T1034" t="s">
        <v>25</v>
      </c>
    </row>
    <row r="1035" spans="1:20" ht="15">
      <c r="A1035" t="s">
        <v>19</v>
      </c>
      <c r="B1035" t="s">
        <v>20</v>
      </c>
      <c r="C1035" t="str">
        <f t="shared" si="16"/>
        <v>31-Dec-21</v>
      </c>
      <c r="D1035" t="s">
        <v>21</v>
      </c>
      <c r="E1035" t="s">
        <v>22</v>
      </c>
      <c r="F1035" t="str">
        <f>"2380108"</f>
        <v>2380108</v>
      </c>
      <c r="G1035" t="s">
        <v>1068</v>
      </c>
      <c r="I1035" t="s">
        <v>1046</v>
      </c>
      <c r="J1035">
        <v>0.042968619</v>
      </c>
      <c r="K1035">
        <v>80284</v>
      </c>
      <c r="L1035">
        <v>6608159.03</v>
      </c>
      <c r="M1035">
        <v>349411.13</v>
      </c>
      <c r="N1035">
        <v>38.55</v>
      </c>
      <c r="O1035">
        <v>3094948.2</v>
      </c>
      <c r="P1035">
        <v>132985.65</v>
      </c>
      <c r="Q1035">
        <v>0</v>
      </c>
      <c r="R1035">
        <v>0</v>
      </c>
      <c r="S1035">
        <v>0.066</v>
      </c>
      <c r="T1035" t="s">
        <v>25</v>
      </c>
    </row>
    <row r="1036" spans="1:20" ht="15">
      <c r="A1036" t="s">
        <v>19</v>
      </c>
      <c r="B1036" t="s">
        <v>20</v>
      </c>
      <c r="C1036" t="str">
        <f t="shared" si="16"/>
        <v>31-Dec-21</v>
      </c>
      <c r="D1036" t="s">
        <v>21</v>
      </c>
      <c r="E1036" t="s">
        <v>22</v>
      </c>
      <c r="F1036" t="str">
        <f>"B1FJ6T9"</f>
        <v>B1FJ6T9</v>
      </c>
      <c r="G1036" t="s">
        <v>1069</v>
      </c>
      <c r="I1036" t="s">
        <v>1046</v>
      </c>
      <c r="J1036">
        <v>0.042968619</v>
      </c>
      <c r="K1036">
        <v>9710</v>
      </c>
      <c r="L1036">
        <v>716324.45</v>
      </c>
      <c r="M1036">
        <v>32844.77</v>
      </c>
      <c r="N1036">
        <v>72.69</v>
      </c>
      <c r="O1036">
        <v>705819.9</v>
      </c>
      <c r="P1036">
        <v>30328.11</v>
      </c>
      <c r="Q1036">
        <v>0</v>
      </c>
      <c r="R1036">
        <v>0</v>
      </c>
      <c r="S1036">
        <v>0.015</v>
      </c>
      <c r="T1036" t="s">
        <v>25</v>
      </c>
    </row>
    <row r="1037" spans="1:20" ht="15">
      <c r="A1037" t="s">
        <v>19</v>
      </c>
      <c r="B1037" t="s">
        <v>20</v>
      </c>
      <c r="C1037" t="str">
        <f t="shared" si="16"/>
        <v>31-Dec-21</v>
      </c>
      <c r="D1037" t="s">
        <v>21</v>
      </c>
      <c r="E1037" t="s">
        <v>22</v>
      </c>
      <c r="F1037" t="str">
        <f>"2448200"</f>
        <v>2448200</v>
      </c>
      <c r="G1037" t="s">
        <v>1070</v>
      </c>
      <c r="I1037" t="s">
        <v>1046</v>
      </c>
      <c r="J1037">
        <v>0.042968619</v>
      </c>
      <c r="K1037">
        <v>4940</v>
      </c>
      <c r="L1037">
        <v>1323552.05</v>
      </c>
      <c r="M1037">
        <v>65624.87</v>
      </c>
      <c r="N1037">
        <v>235.56</v>
      </c>
      <c r="O1037">
        <v>1163666.4</v>
      </c>
      <c r="P1037">
        <v>50001.14</v>
      </c>
      <c r="Q1037">
        <v>0</v>
      </c>
      <c r="R1037">
        <v>0</v>
      </c>
      <c r="S1037">
        <v>0.025</v>
      </c>
      <c r="T1037" t="s">
        <v>25</v>
      </c>
    </row>
    <row r="1038" spans="1:20" ht="15">
      <c r="A1038" t="s">
        <v>19</v>
      </c>
      <c r="B1038" t="s">
        <v>20</v>
      </c>
      <c r="C1038" t="str">
        <f t="shared" si="16"/>
        <v>31-Dec-21</v>
      </c>
      <c r="D1038" t="s">
        <v>21</v>
      </c>
      <c r="E1038" t="s">
        <v>22</v>
      </c>
      <c r="F1038" t="str">
        <f>"2491914"</f>
        <v>2491914</v>
      </c>
      <c r="G1038" t="s">
        <v>1071</v>
      </c>
      <c r="I1038" t="s">
        <v>1046</v>
      </c>
      <c r="J1038">
        <v>0.042968619</v>
      </c>
      <c r="K1038">
        <v>14542</v>
      </c>
      <c r="L1038">
        <v>501408.12</v>
      </c>
      <c r="M1038">
        <v>25248.28</v>
      </c>
      <c r="N1038">
        <v>31.01</v>
      </c>
      <c r="O1038">
        <v>450947.42</v>
      </c>
      <c r="P1038">
        <v>19376.59</v>
      </c>
      <c r="Q1038">
        <v>0</v>
      </c>
      <c r="R1038">
        <v>0</v>
      </c>
      <c r="S1038">
        <v>0.01</v>
      </c>
      <c r="T1038" t="s">
        <v>25</v>
      </c>
    </row>
    <row r="1039" spans="1:20" ht="15">
      <c r="A1039" t="s">
        <v>19</v>
      </c>
      <c r="B1039" t="s">
        <v>20</v>
      </c>
      <c r="C1039" t="str">
        <f t="shared" si="16"/>
        <v>31-Dec-21</v>
      </c>
      <c r="D1039" t="s">
        <v>21</v>
      </c>
      <c r="E1039" t="s">
        <v>22</v>
      </c>
      <c r="F1039" t="str">
        <f>"B292SM8"</f>
        <v>B292SM8</v>
      </c>
      <c r="G1039" t="s">
        <v>1072</v>
      </c>
      <c r="I1039" t="s">
        <v>1046</v>
      </c>
      <c r="J1039">
        <v>0.042968619</v>
      </c>
      <c r="K1039">
        <v>11112</v>
      </c>
      <c r="L1039">
        <v>833663.98</v>
      </c>
      <c r="M1039">
        <v>40139.78</v>
      </c>
      <c r="N1039">
        <v>69.76</v>
      </c>
      <c r="O1039">
        <v>775173.12</v>
      </c>
      <c r="P1039">
        <v>33308.12</v>
      </c>
      <c r="Q1039">
        <v>0</v>
      </c>
      <c r="R1039">
        <v>0</v>
      </c>
      <c r="S1039">
        <v>0.017</v>
      </c>
      <c r="T1039" t="s">
        <v>25</v>
      </c>
    </row>
    <row r="1040" spans="1:20" ht="15">
      <c r="A1040" t="s">
        <v>19</v>
      </c>
      <c r="B1040" t="s">
        <v>20</v>
      </c>
      <c r="C1040" t="str">
        <f t="shared" si="16"/>
        <v>31-Dec-21</v>
      </c>
      <c r="D1040" t="s">
        <v>21</v>
      </c>
      <c r="E1040" t="s">
        <v>22</v>
      </c>
      <c r="F1040" t="str">
        <f>"BH3T8K8"</f>
        <v>BH3T8K8</v>
      </c>
      <c r="G1040" t="s">
        <v>1073</v>
      </c>
      <c r="I1040" t="s">
        <v>1046</v>
      </c>
      <c r="J1040">
        <v>0.042968619</v>
      </c>
      <c r="K1040">
        <v>35665</v>
      </c>
      <c r="L1040">
        <v>1656431.43</v>
      </c>
      <c r="M1040">
        <v>82352.03</v>
      </c>
      <c r="N1040">
        <v>52.27</v>
      </c>
      <c r="O1040">
        <v>1864209.55</v>
      </c>
      <c r="P1040">
        <v>80102.51</v>
      </c>
      <c r="Q1040">
        <v>0</v>
      </c>
      <c r="R1040">
        <v>0</v>
      </c>
      <c r="S1040">
        <v>0.04</v>
      </c>
      <c r="T1040" t="s">
        <v>25</v>
      </c>
    </row>
    <row r="1041" spans="1:20" ht="15">
      <c r="A1041" t="s">
        <v>19</v>
      </c>
      <c r="B1041" t="s">
        <v>20</v>
      </c>
      <c r="C1041" t="str">
        <f t="shared" si="16"/>
        <v>31-Dec-21</v>
      </c>
      <c r="D1041" t="s">
        <v>21</v>
      </c>
      <c r="E1041" t="s">
        <v>22</v>
      </c>
      <c r="F1041" t="str">
        <f>"2393388"</f>
        <v>2393388</v>
      </c>
      <c r="G1041" t="s">
        <v>1074</v>
      </c>
      <c r="I1041" t="s">
        <v>1046</v>
      </c>
      <c r="J1041">
        <v>0.042968619</v>
      </c>
      <c r="K1041">
        <v>7988</v>
      </c>
      <c r="L1041">
        <v>1495781.77</v>
      </c>
      <c r="M1041">
        <v>78049.95</v>
      </c>
      <c r="N1041">
        <v>160</v>
      </c>
      <c r="O1041">
        <v>1278080</v>
      </c>
      <c r="P1041">
        <v>54917.33</v>
      </c>
      <c r="Q1041">
        <v>0</v>
      </c>
      <c r="R1041">
        <v>0</v>
      </c>
      <c r="S1041">
        <v>0.027</v>
      </c>
      <c r="T1041" t="s">
        <v>25</v>
      </c>
    </row>
    <row r="1042" spans="1:20" ht="15">
      <c r="A1042" t="s">
        <v>19</v>
      </c>
      <c r="B1042" t="s">
        <v>20</v>
      </c>
      <c r="C1042" t="str">
        <f t="shared" si="16"/>
        <v>31-Dec-21</v>
      </c>
      <c r="D1042" t="s">
        <v>21</v>
      </c>
      <c r="E1042" t="s">
        <v>22</v>
      </c>
      <c r="F1042" t="str">
        <f>"BYMXF65"</f>
        <v>BYMXF65</v>
      </c>
      <c r="G1042" t="s">
        <v>1075</v>
      </c>
      <c r="I1042" t="s">
        <v>1046</v>
      </c>
      <c r="J1042">
        <v>0.042968619</v>
      </c>
      <c r="K1042">
        <v>4104</v>
      </c>
      <c r="L1042">
        <v>396781.37</v>
      </c>
      <c r="M1042">
        <v>16490.59</v>
      </c>
      <c r="N1042">
        <v>103.89</v>
      </c>
      <c r="O1042">
        <v>426364.56</v>
      </c>
      <c r="P1042">
        <v>18320.3</v>
      </c>
      <c r="Q1042">
        <v>0</v>
      </c>
      <c r="R1042">
        <v>0</v>
      </c>
      <c r="S1042">
        <v>0.009</v>
      </c>
      <c r="T1042" t="s">
        <v>25</v>
      </c>
    </row>
    <row r="1043" spans="1:20" ht="15">
      <c r="A1043" t="s">
        <v>19</v>
      </c>
      <c r="B1043" t="s">
        <v>20</v>
      </c>
      <c r="C1043" t="str">
        <f t="shared" si="16"/>
        <v>31-Dec-21</v>
      </c>
      <c r="D1043" t="s">
        <v>21</v>
      </c>
      <c r="E1043" t="s">
        <v>22</v>
      </c>
      <c r="F1043" t="str">
        <f>"BD0G5P8"</f>
        <v>BD0G5P8</v>
      </c>
      <c r="G1043" t="s">
        <v>1076</v>
      </c>
      <c r="I1043" t="s">
        <v>1046</v>
      </c>
      <c r="J1043">
        <v>0.042968619</v>
      </c>
      <c r="K1043">
        <v>60208</v>
      </c>
      <c r="L1043">
        <v>1111255.21</v>
      </c>
      <c r="M1043">
        <v>49097.12</v>
      </c>
      <c r="N1043">
        <v>20.96</v>
      </c>
      <c r="O1043">
        <v>1261959.68</v>
      </c>
      <c r="P1043">
        <v>54224.67</v>
      </c>
      <c r="Q1043">
        <v>0</v>
      </c>
      <c r="R1043">
        <v>0</v>
      </c>
      <c r="S1043">
        <v>0.027</v>
      </c>
      <c r="T1043" t="s">
        <v>25</v>
      </c>
    </row>
    <row r="1044" spans="1:20" ht="15">
      <c r="A1044" t="s">
        <v>19</v>
      </c>
      <c r="B1044" t="s">
        <v>20</v>
      </c>
      <c r="C1044" t="str">
        <f t="shared" si="16"/>
        <v>31-Dec-21</v>
      </c>
      <c r="D1044" t="s">
        <v>21</v>
      </c>
      <c r="E1044" t="s">
        <v>22</v>
      </c>
      <c r="F1044" t="str">
        <f>"BW1YVH8"</f>
        <v>BW1YVH8</v>
      </c>
      <c r="G1044" t="s">
        <v>1077</v>
      </c>
      <c r="I1044" t="s">
        <v>1046</v>
      </c>
      <c r="J1044">
        <v>0.042968619</v>
      </c>
      <c r="K1044">
        <v>161880</v>
      </c>
      <c r="L1044">
        <v>7018898.6</v>
      </c>
      <c r="M1044">
        <v>343854.92</v>
      </c>
      <c r="N1044">
        <v>76.09</v>
      </c>
      <c r="O1044">
        <v>12317449.2</v>
      </c>
      <c r="P1044">
        <v>529263.79</v>
      </c>
      <c r="Q1044">
        <v>0</v>
      </c>
      <c r="R1044">
        <v>0</v>
      </c>
      <c r="S1044">
        <v>0.262</v>
      </c>
      <c r="T1044" t="s">
        <v>25</v>
      </c>
    </row>
    <row r="1045" spans="1:20" ht="15">
      <c r="A1045" t="s">
        <v>19</v>
      </c>
      <c r="B1045" t="s">
        <v>20</v>
      </c>
      <c r="C1045" t="str">
        <f t="shared" si="16"/>
        <v>31-Dec-21</v>
      </c>
      <c r="D1045" t="s">
        <v>21</v>
      </c>
      <c r="E1045" t="s">
        <v>39</v>
      </c>
      <c r="I1045" t="s">
        <v>1046</v>
      </c>
      <c r="J1045">
        <v>0.042968619</v>
      </c>
      <c r="K1045">
        <v>0</v>
      </c>
      <c r="L1045">
        <v>428941.18</v>
      </c>
      <c r="M1045">
        <v>18360.88</v>
      </c>
      <c r="N1045">
        <v>0</v>
      </c>
      <c r="O1045">
        <v>428941.18</v>
      </c>
      <c r="P1045">
        <v>18431.01</v>
      </c>
      <c r="Q1045">
        <v>0</v>
      </c>
      <c r="R1045">
        <v>0</v>
      </c>
      <c r="S1045">
        <v>0.009</v>
      </c>
      <c r="T1045" t="s">
        <v>579</v>
      </c>
    </row>
    <row r="1046" spans="1:20" ht="15">
      <c r="A1046" t="s">
        <v>19</v>
      </c>
      <c r="B1046" t="s">
        <v>20</v>
      </c>
      <c r="C1046" t="str">
        <f t="shared" si="16"/>
        <v>31-Dec-21</v>
      </c>
      <c r="D1046" t="s">
        <v>21</v>
      </c>
      <c r="E1046" t="s">
        <v>22</v>
      </c>
      <c r="F1046" t="str">
        <f>"6047023"</f>
        <v>6047023</v>
      </c>
      <c r="G1046" t="s">
        <v>1078</v>
      </c>
      <c r="I1046" t="s">
        <v>1079</v>
      </c>
      <c r="J1046">
        <v>0.211078444</v>
      </c>
      <c r="K1046">
        <v>66700</v>
      </c>
      <c r="L1046">
        <v>391891.74</v>
      </c>
      <c r="M1046">
        <v>88846.12</v>
      </c>
      <c r="N1046">
        <v>3.17</v>
      </c>
      <c r="O1046">
        <v>211439</v>
      </c>
      <c r="P1046">
        <v>44630.22</v>
      </c>
      <c r="Q1046">
        <v>0</v>
      </c>
      <c r="R1046">
        <v>0</v>
      </c>
      <c r="S1046">
        <v>0.022</v>
      </c>
      <c r="T1046" t="s">
        <v>25</v>
      </c>
    </row>
    <row r="1047" spans="1:20" ht="15">
      <c r="A1047" t="s">
        <v>19</v>
      </c>
      <c r="B1047" t="s">
        <v>20</v>
      </c>
      <c r="C1047" t="str">
        <f t="shared" si="16"/>
        <v>31-Dec-21</v>
      </c>
      <c r="D1047" t="s">
        <v>21</v>
      </c>
      <c r="E1047" t="s">
        <v>22</v>
      </c>
      <c r="F1047" t="str">
        <f>"6556938"</f>
        <v>6556938</v>
      </c>
      <c r="G1047" t="s">
        <v>1080</v>
      </c>
      <c r="I1047" t="s">
        <v>1079</v>
      </c>
      <c r="J1047">
        <v>0.211078444</v>
      </c>
      <c r="K1047">
        <v>27200</v>
      </c>
      <c r="L1047">
        <v>60250.46</v>
      </c>
      <c r="M1047">
        <v>12358.57</v>
      </c>
      <c r="N1047">
        <v>2.86</v>
      </c>
      <c r="O1047">
        <v>77792</v>
      </c>
      <c r="P1047">
        <v>16420.21</v>
      </c>
      <c r="Q1047">
        <v>0</v>
      </c>
      <c r="R1047">
        <v>0</v>
      </c>
      <c r="S1047">
        <v>0.008</v>
      </c>
      <c r="T1047" t="s">
        <v>25</v>
      </c>
    </row>
    <row r="1048" spans="1:20" ht="15">
      <c r="A1048" t="s">
        <v>19</v>
      </c>
      <c r="B1048" t="s">
        <v>20</v>
      </c>
      <c r="C1048" t="str">
        <f t="shared" si="16"/>
        <v>31-Dec-21</v>
      </c>
      <c r="D1048" t="s">
        <v>21</v>
      </c>
      <c r="E1048" t="s">
        <v>22</v>
      </c>
      <c r="F1048" t="str">
        <f>"B7W5GK3"</f>
        <v>B7W5GK3</v>
      </c>
      <c r="G1048" t="s">
        <v>1081</v>
      </c>
      <c r="I1048" t="s">
        <v>1079</v>
      </c>
      <c r="J1048">
        <v>0.211078444</v>
      </c>
      <c r="K1048">
        <v>89200</v>
      </c>
      <c r="L1048">
        <v>185998.17</v>
      </c>
      <c r="M1048">
        <v>40246.25</v>
      </c>
      <c r="N1048">
        <v>0.95</v>
      </c>
      <c r="O1048">
        <v>84740</v>
      </c>
      <c r="P1048">
        <v>17886.79</v>
      </c>
      <c r="Q1048">
        <v>1338</v>
      </c>
      <c r="R1048">
        <v>282.42</v>
      </c>
      <c r="S1048">
        <v>0.009</v>
      </c>
      <c r="T1048" t="s">
        <v>25</v>
      </c>
    </row>
    <row r="1049" spans="1:20" ht="15">
      <c r="A1049" t="s">
        <v>19</v>
      </c>
      <c r="B1049" t="s">
        <v>20</v>
      </c>
      <c r="C1049" t="str">
        <f t="shared" si="16"/>
        <v>31-Dec-21</v>
      </c>
      <c r="D1049" t="s">
        <v>21</v>
      </c>
      <c r="E1049" t="s">
        <v>22</v>
      </c>
      <c r="F1049" t="str">
        <f>"B2QZGV5"</f>
        <v>B2QZGV5</v>
      </c>
      <c r="G1049" t="s">
        <v>1082</v>
      </c>
      <c r="I1049" t="s">
        <v>1079</v>
      </c>
      <c r="J1049">
        <v>0.211078444</v>
      </c>
      <c r="K1049">
        <v>155595</v>
      </c>
      <c r="L1049">
        <v>893153.34</v>
      </c>
      <c r="M1049">
        <v>201138.49</v>
      </c>
      <c r="N1049">
        <v>4.16</v>
      </c>
      <c r="O1049">
        <v>647275.2</v>
      </c>
      <c r="P1049">
        <v>136625.84</v>
      </c>
      <c r="Q1049">
        <v>0</v>
      </c>
      <c r="R1049">
        <v>0</v>
      </c>
      <c r="S1049">
        <v>0.068</v>
      </c>
      <c r="T1049" t="s">
        <v>25</v>
      </c>
    </row>
    <row r="1050" spans="1:20" ht="15">
      <c r="A1050" t="s">
        <v>19</v>
      </c>
      <c r="B1050" t="s">
        <v>20</v>
      </c>
      <c r="C1050" t="str">
        <f t="shared" si="16"/>
        <v>31-Dec-21</v>
      </c>
      <c r="D1050" t="s">
        <v>21</v>
      </c>
      <c r="E1050" t="s">
        <v>22</v>
      </c>
      <c r="F1050" t="str">
        <f>"6075745"</f>
        <v>6075745</v>
      </c>
      <c r="G1050" t="s">
        <v>1083</v>
      </c>
      <c r="I1050" t="s">
        <v>1079</v>
      </c>
      <c r="J1050">
        <v>0.211078444</v>
      </c>
      <c r="K1050">
        <v>215464</v>
      </c>
      <c r="L1050">
        <v>1265073.02</v>
      </c>
      <c r="M1050">
        <v>279772.57</v>
      </c>
      <c r="N1050">
        <v>5.45</v>
      </c>
      <c r="O1050">
        <v>1174278.8</v>
      </c>
      <c r="P1050">
        <v>247864.94</v>
      </c>
      <c r="Q1050">
        <v>0</v>
      </c>
      <c r="R1050">
        <v>0</v>
      </c>
      <c r="S1050">
        <v>0.123</v>
      </c>
      <c r="T1050" t="s">
        <v>25</v>
      </c>
    </row>
    <row r="1051" spans="1:20" ht="15">
      <c r="A1051" t="s">
        <v>19</v>
      </c>
      <c r="B1051" t="s">
        <v>20</v>
      </c>
      <c r="C1051" t="str">
        <f t="shared" si="16"/>
        <v>31-Dec-21</v>
      </c>
      <c r="D1051" t="s">
        <v>21</v>
      </c>
      <c r="E1051" t="s">
        <v>22</v>
      </c>
      <c r="F1051" t="str">
        <f>"6086242"</f>
        <v>6086242</v>
      </c>
      <c r="G1051" t="s">
        <v>1084</v>
      </c>
      <c r="I1051" t="s">
        <v>1079</v>
      </c>
      <c r="J1051">
        <v>0.211078444</v>
      </c>
      <c r="K1051">
        <v>123700</v>
      </c>
      <c r="L1051">
        <v>616213.59</v>
      </c>
      <c r="M1051">
        <v>137788.87</v>
      </c>
      <c r="N1051">
        <v>4.36</v>
      </c>
      <c r="O1051">
        <v>539332</v>
      </c>
      <c r="P1051">
        <v>113841.36</v>
      </c>
      <c r="Q1051">
        <v>0</v>
      </c>
      <c r="R1051">
        <v>0</v>
      </c>
      <c r="S1051">
        <v>0.056</v>
      </c>
      <c r="T1051" t="s">
        <v>25</v>
      </c>
    </row>
    <row r="1052" spans="1:20" ht="15">
      <c r="A1052" t="s">
        <v>19</v>
      </c>
      <c r="B1052" t="s">
        <v>20</v>
      </c>
      <c r="C1052" t="str">
        <f t="shared" si="16"/>
        <v>31-Dec-21</v>
      </c>
      <c r="D1052" t="s">
        <v>21</v>
      </c>
      <c r="E1052" t="s">
        <v>22</v>
      </c>
      <c r="F1052" t="str">
        <f>"B00MRS2"</f>
        <v>B00MRS2</v>
      </c>
      <c r="G1052" t="s">
        <v>1085</v>
      </c>
      <c r="I1052" t="s">
        <v>1079</v>
      </c>
      <c r="J1052">
        <v>0.211078444</v>
      </c>
      <c r="K1052">
        <v>137700</v>
      </c>
      <c r="L1052">
        <v>489618.53</v>
      </c>
      <c r="M1052">
        <v>101295.91</v>
      </c>
      <c r="N1052">
        <v>2.62</v>
      </c>
      <c r="O1052">
        <v>360774</v>
      </c>
      <c r="P1052">
        <v>76151.61</v>
      </c>
      <c r="Q1052">
        <v>0</v>
      </c>
      <c r="R1052">
        <v>0</v>
      </c>
      <c r="S1052">
        <v>0.038</v>
      </c>
      <c r="T1052" t="s">
        <v>25</v>
      </c>
    </row>
    <row r="1053" spans="1:20" ht="15">
      <c r="A1053" t="s">
        <v>19</v>
      </c>
      <c r="B1053" t="s">
        <v>20</v>
      </c>
      <c r="C1053" t="str">
        <f t="shared" si="16"/>
        <v>31-Dec-21</v>
      </c>
      <c r="D1053" t="s">
        <v>21</v>
      </c>
      <c r="E1053" t="s">
        <v>22</v>
      </c>
      <c r="F1053" t="str">
        <f>"6555946"</f>
        <v>6555946</v>
      </c>
      <c r="G1053" t="s">
        <v>1086</v>
      </c>
      <c r="I1053" t="s">
        <v>1079</v>
      </c>
      <c r="J1053">
        <v>0.211078444</v>
      </c>
      <c r="K1053">
        <v>5200</v>
      </c>
      <c r="L1053">
        <v>179209.12</v>
      </c>
      <c r="M1053">
        <v>38661.72</v>
      </c>
      <c r="N1053">
        <v>24.74</v>
      </c>
      <c r="O1053">
        <v>128648</v>
      </c>
      <c r="P1053">
        <v>27154.82</v>
      </c>
      <c r="Q1053">
        <v>0</v>
      </c>
      <c r="R1053">
        <v>0</v>
      </c>
      <c r="S1053">
        <v>0.013</v>
      </c>
      <c r="T1053" t="s">
        <v>25</v>
      </c>
    </row>
    <row r="1054" spans="1:20" ht="15">
      <c r="A1054" t="s">
        <v>19</v>
      </c>
      <c r="B1054" t="s">
        <v>20</v>
      </c>
      <c r="C1054" t="str">
        <f t="shared" si="16"/>
        <v>31-Dec-21</v>
      </c>
      <c r="D1054" t="s">
        <v>21</v>
      </c>
      <c r="E1054" t="s">
        <v>22</v>
      </c>
      <c r="F1054" t="str">
        <f>"6359881"</f>
        <v>6359881</v>
      </c>
      <c r="G1054" t="s">
        <v>1087</v>
      </c>
      <c r="I1054" t="s">
        <v>1079</v>
      </c>
      <c r="J1054">
        <v>0.211078444</v>
      </c>
      <c r="K1054">
        <v>82365</v>
      </c>
      <c r="L1054">
        <v>393961.93</v>
      </c>
      <c r="M1054">
        <v>90644.46</v>
      </c>
      <c r="N1054">
        <v>2.9</v>
      </c>
      <c r="O1054">
        <v>238858.5</v>
      </c>
      <c r="P1054">
        <v>50417.88</v>
      </c>
      <c r="Q1054">
        <v>0</v>
      </c>
      <c r="R1054">
        <v>0</v>
      </c>
      <c r="S1054">
        <v>0.025</v>
      </c>
      <c r="T1054" t="s">
        <v>25</v>
      </c>
    </row>
    <row r="1055" spans="1:20" ht="15">
      <c r="A1055" t="s">
        <v>19</v>
      </c>
      <c r="B1055" t="s">
        <v>20</v>
      </c>
      <c r="C1055" t="str">
        <f t="shared" si="16"/>
        <v>31-Dec-21</v>
      </c>
      <c r="D1055" t="s">
        <v>21</v>
      </c>
      <c r="E1055" t="s">
        <v>22</v>
      </c>
      <c r="F1055" t="str">
        <f>"B1VXJL8"</f>
        <v>B1VXJL8</v>
      </c>
      <c r="G1055" t="s">
        <v>1088</v>
      </c>
      <c r="I1055" t="s">
        <v>1079</v>
      </c>
      <c r="J1055">
        <v>0.211078444</v>
      </c>
      <c r="K1055">
        <v>82500</v>
      </c>
      <c r="L1055">
        <v>717714.26</v>
      </c>
      <c r="M1055">
        <v>162274.75</v>
      </c>
      <c r="N1055">
        <v>4.67</v>
      </c>
      <c r="O1055">
        <v>385275</v>
      </c>
      <c r="P1055">
        <v>81323.25</v>
      </c>
      <c r="Q1055">
        <v>0</v>
      </c>
      <c r="R1055">
        <v>0</v>
      </c>
      <c r="S1055">
        <v>0.04</v>
      </c>
      <c r="T1055" t="s">
        <v>25</v>
      </c>
    </row>
    <row r="1056" spans="1:20" ht="15">
      <c r="A1056" t="s">
        <v>19</v>
      </c>
      <c r="B1056" t="s">
        <v>20</v>
      </c>
      <c r="C1056" t="str">
        <f t="shared" si="16"/>
        <v>31-Dec-21</v>
      </c>
      <c r="D1056" t="s">
        <v>21</v>
      </c>
      <c r="E1056" t="s">
        <v>22</v>
      </c>
      <c r="F1056" t="str">
        <f>"B1VXKN7"</f>
        <v>B1VXKN7</v>
      </c>
      <c r="G1056" t="s">
        <v>1089</v>
      </c>
      <c r="I1056" t="s">
        <v>1079</v>
      </c>
      <c r="J1056">
        <v>0.211078444</v>
      </c>
      <c r="K1056">
        <v>105500</v>
      </c>
      <c r="L1056">
        <v>396276.23</v>
      </c>
      <c r="M1056">
        <v>89292.03</v>
      </c>
      <c r="N1056">
        <v>2.88</v>
      </c>
      <c r="O1056">
        <v>303840</v>
      </c>
      <c r="P1056">
        <v>64134.07</v>
      </c>
      <c r="Q1056">
        <v>0</v>
      </c>
      <c r="R1056">
        <v>0</v>
      </c>
      <c r="S1056">
        <v>0.032</v>
      </c>
      <c r="T1056" t="s">
        <v>25</v>
      </c>
    </row>
    <row r="1057" spans="1:20" ht="15">
      <c r="A1057" t="s">
        <v>19</v>
      </c>
      <c r="B1057" t="s">
        <v>20</v>
      </c>
      <c r="C1057" t="str">
        <f t="shared" si="16"/>
        <v>31-Dec-21</v>
      </c>
      <c r="D1057" t="s">
        <v>21</v>
      </c>
      <c r="E1057" t="s">
        <v>22</v>
      </c>
      <c r="F1057" t="str">
        <f>"6297743"</f>
        <v>6297743</v>
      </c>
      <c r="G1057" t="s">
        <v>1090</v>
      </c>
      <c r="I1057" t="s">
        <v>1079</v>
      </c>
      <c r="J1057">
        <v>0.211078444</v>
      </c>
      <c r="K1057">
        <v>21900</v>
      </c>
      <c r="L1057">
        <v>168230.1</v>
      </c>
      <c r="M1057">
        <v>36781.5</v>
      </c>
      <c r="N1057">
        <v>7.7</v>
      </c>
      <c r="O1057">
        <v>168630</v>
      </c>
      <c r="P1057">
        <v>35594.16</v>
      </c>
      <c r="Q1057">
        <v>0</v>
      </c>
      <c r="R1057">
        <v>0</v>
      </c>
      <c r="S1057">
        <v>0.018</v>
      </c>
      <c r="T1057" t="s">
        <v>25</v>
      </c>
    </row>
    <row r="1058" spans="1:20" ht="15">
      <c r="A1058" t="s">
        <v>19</v>
      </c>
      <c r="B1058" t="s">
        <v>20</v>
      </c>
      <c r="C1058" t="str">
        <f t="shared" si="16"/>
        <v>31-Dec-21</v>
      </c>
      <c r="D1058" t="s">
        <v>21</v>
      </c>
      <c r="E1058" t="s">
        <v>22</v>
      </c>
      <c r="F1058" t="str">
        <f>"B2QPJK5"</f>
        <v>B2QPJK5</v>
      </c>
      <c r="G1058" t="s">
        <v>1091</v>
      </c>
      <c r="I1058" t="s">
        <v>1079</v>
      </c>
      <c r="J1058">
        <v>0.211078444</v>
      </c>
      <c r="K1058">
        <v>47400</v>
      </c>
      <c r="L1058">
        <v>330837.16</v>
      </c>
      <c r="M1058">
        <v>68658.6</v>
      </c>
      <c r="N1058">
        <v>5.73</v>
      </c>
      <c r="O1058">
        <v>271602</v>
      </c>
      <c r="P1058">
        <v>57329.33</v>
      </c>
      <c r="Q1058">
        <v>0</v>
      </c>
      <c r="R1058">
        <v>0</v>
      </c>
      <c r="S1058">
        <v>0.028</v>
      </c>
      <c r="T1058" t="s">
        <v>25</v>
      </c>
    </row>
    <row r="1059" spans="1:20" ht="15">
      <c r="A1059" t="s">
        <v>19</v>
      </c>
      <c r="B1059" t="s">
        <v>20</v>
      </c>
      <c r="C1059" t="str">
        <f t="shared" si="16"/>
        <v>31-Dec-21</v>
      </c>
      <c r="D1059" t="s">
        <v>21</v>
      </c>
      <c r="E1059" t="s">
        <v>22</v>
      </c>
      <c r="F1059" t="str">
        <f>"6436892"</f>
        <v>6436892</v>
      </c>
      <c r="G1059" t="s">
        <v>1092</v>
      </c>
      <c r="I1059" t="s">
        <v>1079</v>
      </c>
      <c r="J1059">
        <v>0.211078444</v>
      </c>
      <c r="K1059">
        <v>19716</v>
      </c>
      <c r="L1059">
        <v>268917.5</v>
      </c>
      <c r="M1059">
        <v>59797.31</v>
      </c>
      <c r="N1059">
        <v>18.62</v>
      </c>
      <c r="O1059">
        <v>367111.92</v>
      </c>
      <c r="P1059">
        <v>77489.41</v>
      </c>
      <c r="Q1059">
        <v>0</v>
      </c>
      <c r="R1059">
        <v>0</v>
      </c>
      <c r="S1059">
        <v>0.038</v>
      </c>
      <c r="T1059" t="s">
        <v>25</v>
      </c>
    </row>
    <row r="1060" spans="1:20" ht="15">
      <c r="A1060" t="s">
        <v>19</v>
      </c>
      <c r="B1060" t="s">
        <v>20</v>
      </c>
      <c r="C1060" t="str">
        <f t="shared" si="16"/>
        <v>31-Dec-21</v>
      </c>
      <c r="D1060" t="s">
        <v>21</v>
      </c>
      <c r="E1060" t="s">
        <v>22</v>
      </c>
      <c r="F1060" t="str">
        <f>"6436450"</f>
        <v>6436450</v>
      </c>
      <c r="G1060" t="s">
        <v>1093</v>
      </c>
      <c r="I1060" t="s">
        <v>1079</v>
      </c>
      <c r="J1060">
        <v>0.211078444</v>
      </c>
      <c r="K1060">
        <v>3154</v>
      </c>
      <c r="L1060">
        <v>46167.83</v>
      </c>
      <c r="M1060">
        <v>10651.39</v>
      </c>
      <c r="N1060">
        <v>17.34</v>
      </c>
      <c r="O1060">
        <v>54690.36</v>
      </c>
      <c r="P1060">
        <v>11543.96</v>
      </c>
      <c r="Q1060">
        <v>0</v>
      </c>
      <c r="R1060">
        <v>0</v>
      </c>
      <c r="S1060">
        <v>0.006</v>
      </c>
      <c r="T1060" t="s">
        <v>25</v>
      </c>
    </row>
    <row r="1061" spans="1:20" ht="15">
      <c r="A1061" t="s">
        <v>19</v>
      </c>
      <c r="B1061" t="s">
        <v>20</v>
      </c>
      <c r="C1061" t="str">
        <f t="shared" si="16"/>
        <v>31-Dec-21</v>
      </c>
      <c r="D1061" t="s">
        <v>21</v>
      </c>
      <c r="E1061" t="s">
        <v>22</v>
      </c>
      <c r="F1061" t="str">
        <f>"B83X6P8"</f>
        <v>B83X6P8</v>
      </c>
      <c r="G1061" t="s">
        <v>1094</v>
      </c>
      <c r="I1061" t="s">
        <v>1079</v>
      </c>
      <c r="J1061">
        <v>0.211078444</v>
      </c>
      <c r="K1061">
        <v>99300</v>
      </c>
      <c r="L1061">
        <v>509894.47</v>
      </c>
      <c r="M1061">
        <v>114917.44</v>
      </c>
      <c r="N1061">
        <v>7.34</v>
      </c>
      <c r="O1061">
        <v>728862</v>
      </c>
      <c r="P1061">
        <v>153847.06</v>
      </c>
      <c r="Q1061">
        <v>0</v>
      </c>
      <c r="R1061">
        <v>0</v>
      </c>
      <c r="S1061">
        <v>0.076</v>
      </c>
      <c r="T1061" t="s">
        <v>25</v>
      </c>
    </row>
    <row r="1062" spans="1:20" ht="15">
      <c r="A1062" t="s">
        <v>19</v>
      </c>
      <c r="B1062" t="s">
        <v>20</v>
      </c>
      <c r="C1062" t="str">
        <f t="shared" si="16"/>
        <v>31-Dec-21</v>
      </c>
      <c r="D1062" t="s">
        <v>21</v>
      </c>
      <c r="E1062" t="s">
        <v>22</v>
      </c>
      <c r="F1062" t="str">
        <f>"6455217"</f>
        <v>6455217</v>
      </c>
      <c r="G1062" t="s">
        <v>1095</v>
      </c>
      <c r="I1062" t="s">
        <v>1079</v>
      </c>
      <c r="J1062">
        <v>0.211078444</v>
      </c>
      <c r="K1062">
        <v>82800</v>
      </c>
      <c r="L1062">
        <v>263886.2</v>
      </c>
      <c r="M1062">
        <v>61368.21</v>
      </c>
      <c r="N1062">
        <v>1.52</v>
      </c>
      <c r="O1062">
        <v>125856</v>
      </c>
      <c r="P1062">
        <v>26565.49</v>
      </c>
      <c r="Q1062">
        <v>0</v>
      </c>
      <c r="R1062">
        <v>0</v>
      </c>
      <c r="S1062">
        <v>0.013</v>
      </c>
      <c r="T1062" t="s">
        <v>25</v>
      </c>
    </row>
    <row r="1063" spans="1:20" ht="15">
      <c r="A1063" t="s">
        <v>19</v>
      </c>
      <c r="B1063" t="s">
        <v>20</v>
      </c>
      <c r="C1063" t="str">
        <f t="shared" si="16"/>
        <v>31-Dec-21</v>
      </c>
      <c r="D1063" t="s">
        <v>21</v>
      </c>
      <c r="E1063" t="s">
        <v>22</v>
      </c>
      <c r="F1063" t="str">
        <f>"B1Y3WG1"</f>
        <v>B1Y3WG1</v>
      </c>
      <c r="G1063" t="s">
        <v>1096</v>
      </c>
      <c r="I1063" t="s">
        <v>1079</v>
      </c>
      <c r="J1063">
        <v>0.211078444</v>
      </c>
      <c r="K1063">
        <v>99000</v>
      </c>
      <c r="L1063">
        <v>441875.08</v>
      </c>
      <c r="M1063">
        <v>99518.5</v>
      </c>
      <c r="N1063">
        <v>3.73</v>
      </c>
      <c r="O1063">
        <v>369270</v>
      </c>
      <c r="P1063">
        <v>77944.94</v>
      </c>
      <c r="Q1063">
        <v>0</v>
      </c>
      <c r="R1063">
        <v>0</v>
      </c>
      <c r="S1063">
        <v>0.039</v>
      </c>
      <c r="T1063" t="s">
        <v>25</v>
      </c>
    </row>
    <row r="1064" spans="1:20" ht="15">
      <c r="A1064" t="s">
        <v>19</v>
      </c>
      <c r="B1064" t="s">
        <v>20</v>
      </c>
      <c r="C1064" t="str">
        <f t="shared" si="16"/>
        <v>31-Dec-21</v>
      </c>
      <c r="D1064" t="s">
        <v>21</v>
      </c>
      <c r="E1064" t="s">
        <v>22</v>
      </c>
      <c r="F1064" t="str">
        <f>"BH7JFJ2"</f>
        <v>BH7JFJ2</v>
      </c>
      <c r="G1064" t="s">
        <v>1097</v>
      </c>
      <c r="I1064" t="s">
        <v>1079</v>
      </c>
      <c r="J1064">
        <v>0.211078444</v>
      </c>
      <c r="K1064">
        <v>75912</v>
      </c>
      <c r="L1064">
        <v>153572.56</v>
      </c>
      <c r="M1064">
        <v>34394.45</v>
      </c>
      <c r="N1064">
        <v>1.1</v>
      </c>
      <c r="O1064">
        <v>83503.2</v>
      </c>
      <c r="P1064">
        <v>17625.73</v>
      </c>
      <c r="Q1064">
        <v>0</v>
      </c>
      <c r="R1064">
        <v>0</v>
      </c>
      <c r="S1064">
        <v>0.009</v>
      </c>
      <c r="T1064" t="s">
        <v>25</v>
      </c>
    </row>
    <row r="1065" spans="1:20" ht="15">
      <c r="A1065" t="s">
        <v>19</v>
      </c>
      <c r="B1065" t="s">
        <v>20</v>
      </c>
      <c r="C1065" t="str">
        <f t="shared" si="16"/>
        <v>31-Dec-21</v>
      </c>
      <c r="D1065" t="s">
        <v>21</v>
      </c>
      <c r="E1065" t="s">
        <v>22</v>
      </c>
      <c r="F1065" t="str">
        <f>"6497446"</f>
        <v>6497446</v>
      </c>
      <c r="G1065" t="s">
        <v>1098</v>
      </c>
      <c r="I1065" t="s">
        <v>1079</v>
      </c>
      <c r="J1065">
        <v>0.211078444</v>
      </c>
      <c r="K1065">
        <v>15198</v>
      </c>
      <c r="L1065">
        <v>352772.18</v>
      </c>
      <c r="M1065">
        <v>79865.8</v>
      </c>
      <c r="N1065">
        <v>21.78</v>
      </c>
      <c r="O1065">
        <v>331012.44</v>
      </c>
      <c r="P1065">
        <v>69869.59</v>
      </c>
      <c r="Q1065">
        <v>0</v>
      </c>
      <c r="R1065">
        <v>0</v>
      </c>
      <c r="S1065">
        <v>0.035</v>
      </c>
      <c r="T1065" t="s">
        <v>25</v>
      </c>
    </row>
    <row r="1066" spans="1:20" ht="15">
      <c r="A1066" t="s">
        <v>19</v>
      </c>
      <c r="B1066" t="s">
        <v>20</v>
      </c>
      <c r="C1066" t="str">
        <f t="shared" si="16"/>
        <v>31-Dec-21</v>
      </c>
      <c r="D1066" t="s">
        <v>21</v>
      </c>
      <c r="E1066" t="s">
        <v>22</v>
      </c>
      <c r="F1066" t="str">
        <f>"6557997"</f>
        <v>6557997</v>
      </c>
      <c r="G1066" t="s">
        <v>1099</v>
      </c>
      <c r="I1066" t="s">
        <v>1079</v>
      </c>
      <c r="J1066">
        <v>0.211078444</v>
      </c>
      <c r="K1066">
        <v>56600</v>
      </c>
      <c r="L1066">
        <v>411282.75</v>
      </c>
      <c r="M1066">
        <v>88706.66</v>
      </c>
      <c r="N1066">
        <v>7.05</v>
      </c>
      <c r="O1066">
        <v>399030</v>
      </c>
      <c r="P1066">
        <v>84226.63</v>
      </c>
      <c r="Q1066">
        <v>0</v>
      </c>
      <c r="R1066">
        <v>0</v>
      </c>
      <c r="S1066">
        <v>0.042</v>
      </c>
      <c r="T1066" t="s">
        <v>25</v>
      </c>
    </row>
    <row r="1067" spans="1:20" ht="15">
      <c r="A1067" t="s">
        <v>19</v>
      </c>
      <c r="B1067" t="s">
        <v>20</v>
      </c>
      <c r="C1067" t="str">
        <f t="shared" si="16"/>
        <v>31-Dec-21</v>
      </c>
      <c r="D1067" t="s">
        <v>21</v>
      </c>
      <c r="E1067" t="s">
        <v>22</v>
      </c>
      <c r="F1067" t="str">
        <f>"BN4JBJ9"</f>
        <v>BN4JBJ9</v>
      </c>
      <c r="G1067" t="s">
        <v>1100</v>
      </c>
      <c r="I1067" t="s">
        <v>1079</v>
      </c>
      <c r="J1067">
        <v>0.211078444</v>
      </c>
      <c r="K1067">
        <v>47100</v>
      </c>
      <c r="L1067">
        <v>184008.65</v>
      </c>
      <c r="M1067">
        <v>37497.7</v>
      </c>
      <c r="N1067">
        <v>3.61</v>
      </c>
      <c r="O1067">
        <v>170031</v>
      </c>
      <c r="P1067">
        <v>35889.88</v>
      </c>
      <c r="Q1067">
        <v>0</v>
      </c>
      <c r="R1067">
        <v>0</v>
      </c>
      <c r="S1067">
        <v>0.018</v>
      </c>
      <c r="T1067" t="s">
        <v>25</v>
      </c>
    </row>
    <row r="1068" spans="1:20" ht="15">
      <c r="A1068" t="s">
        <v>19</v>
      </c>
      <c r="B1068" t="s">
        <v>20</v>
      </c>
      <c r="C1068" t="str">
        <f t="shared" si="16"/>
        <v>31-Dec-21</v>
      </c>
      <c r="D1068" t="s">
        <v>21</v>
      </c>
      <c r="E1068" t="s">
        <v>22</v>
      </c>
      <c r="F1068" t="str">
        <f>"6556325"</f>
        <v>6556325</v>
      </c>
      <c r="G1068" t="s">
        <v>1101</v>
      </c>
      <c r="I1068" t="s">
        <v>1079</v>
      </c>
      <c r="J1068">
        <v>0.211078444</v>
      </c>
      <c r="K1068">
        <v>195488</v>
      </c>
      <c r="L1068">
        <v>1753112.22</v>
      </c>
      <c r="M1068">
        <v>381499.32</v>
      </c>
      <c r="N1068">
        <v>8.3</v>
      </c>
      <c r="O1068">
        <v>1622550.4</v>
      </c>
      <c r="P1068">
        <v>342485.41</v>
      </c>
      <c r="Q1068">
        <v>0</v>
      </c>
      <c r="R1068">
        <v>0</v>
      </c>
      <c r="S1068">
        <v>0.17</v>
      </c>
      <c r="T1068" t="s">
        <v>25</v>
      </c>
    </row>
    <row r="1069" spans="1:20" ht="15">
      <c r="A1069" t="s">
        <v>19</v>
      </c>
      <c r="B1069" t="s">
        <v>20</v>
      </c>
      <c r="C1069" t="str">
        <f t="shared" si="16"/>
        <v>31-Dec-21</v>
      </c>
      <c r="D1069" t="s">
        <v>21</v>
      </c>
      <c r="E1069" t="s">
        <v>22</v>
      </c>
      <c r="F1069" t="str">
        <f>"6188193"</f>
        <v>6188193</v>
      </c>
      <c r="G1069" t="s">
        <v>1102</v>
      </c>
      <c r="I1069" t="s">
        <v>1079</v>
      </c>
      <c r="J1069">
        <v>0.211078444</v>
      </c>
      <c r="K1069">
        <v>31292</v>
      </c>
      <c r="L1069">
        <v>233100.56</v>
      </c>
      <c r="M1069">
        <v>51017.43</v>
      </c>
      <c r="N1069">
        <v>5.98</v>
      </c>
      <c r="O1069">
        <v>187126.16</v>
      </c>
      <c r="P1069">
        <v>39498.3</v>
      </c>
      <c r="Q1069">
        <v>0</v>
      </c>
      <c r="R1069">
        <v>0</v>
      </c>
      <c r="S1069">
        <v>0.02</v>
      </c>
      <c r="T1069" t="s">
        <v>25</v>
      </c>
    </row>
    <row r="1070" spans="1:20" ht="15">
      <c r="A1070" t="s">
        <v>19</v>
      </c>
      <c r="B1070" t="s">
        <v>20</v>
      </c>
      <c r="C1070" t="str">
        <f t="shared" si="16"/>
        <v>31-Dec-21</v>
      </c>
      <c r="D1070" t="s">
        <v>21</v>
      </c>
      <c r="E1070" t="s">
        <v>22</v>
      </c>
      <c r="F1070" t="str">
        <f>"B5387L5"</f>
        <v>B5387L5</v>
      </c>
      <c r="G1070" t="s">
        <v>1103</v>
      </c>
      <c r="I1070" t="s">
        <v>1079</v>
      </c>
      <c r="J1070">
        <v>0.211078444</v>
      </c>
      <c r="K1070">
        <v>95200</v>
      </c>
      <c r="L1070">
        <v>613239.85</v>
      </c>
      <c r="M1070">
        <v>139136.66</v>
      </c>
      <c r="N1070">
        <v>4.85</v>
      </c>
      <c r="O1070">
        <v>461720</v>
      </c>
      <c r="P1070">
        <v>97459.14</v>
      </c>
      <c r="Q1070">
        <v>0</v>
      </c>
      <c r="R1070">
        <v>0</v>
      </c>
      <c r="S1070">
        <v>0.048</v>
      </c>
      <c r="T1070" t="s">
        <v>25</v>
      </c>
    </row>
    <row r="1071" spans="1:20" ht="15">
      <c r="A1071" t="s">
        <v>19</v>
      </c>
      <c r="B1071" t="s">
        <v>20</v>
      </c>
      <c r="C1071" t="str">
        <f t="shared" si="16"/>
        <v>31-Dec-21</v>
      </c>
      <c r="D1071" t="s">
        <v>21</v>
      </c>
      <c r="E1071" t="s">
        <v>22</v>
      </c>
      <c r="F1071" t="str">
        <f>"6629335"</f>
        <v>6629335</v>
      </c>
      <c r="G1071" t="s">
        <v>1104</v>
      </c>
      <c r="I1071" t="s">
        <v>1079</v>
      </c>
      <c r="J1071">
        <v>0.211078444</v>
      </c>
      <c r="K1071">
        <v>800</v>
      </c>
      <c r="L1071">
        <v>106071.24</v>
      </c>
      <c r="M1071">
        <v>22211.51</v>
      </c>
      <c r="N1071">
        <v>134.2</v>
      </c>
      <c r="O1071">
        <v>107360</v>
      </c>
      <c r="P1071">
        <v>22661.38</v>
      </c>
      <c r="Q1071">
        <v>0</v>
      </c>
      <c r="R1071">
        <v>0</v>
      </c>
      <c r="S1071">
        <v>0.011</v>
      </c>
      <c r="T1071" t="s">
        <v>25</v>
      </c>
    </row>
    <row r="1072" spans="1:20" ht="15">
      <c r="A1072" t="s">
        <v>19</v>
      </c>
      <c r="B1072" t="s">
        <v>20</v>
      </c>
      <c r="C1072" t="str">
        <f t="shared" si="16"/>
        <v>31-Dec-21</v>
      </c>
      <c r="D1072" t="s">
        <v>21</v>
      </c>
      <c r="E1072" t="s">
        <v>22</v>
      </c>
      <c r="F1072" t="str">
        <f>"6681669"</f>
        <v>6681669</v>
      </c>
      <c r="G1072" t="s">
        <v>1105</v>
      </c>
      <c r="I1072" t="s">
        <v>1079</v>
      </c>
      <c r="J1072">
        <v>0.211078444</v>
      </c>
      <c r="K1072">
        <v>19640</v>
      </c>
      <c r="L1072">
        <v>275155.26</v>
      </c>
      <c r="M1072">
        <v>60755.48</v>
      </c>
      <c r="N1072">
        <v>17.1</v>
      </c>
      <c r="O1072">
        <v>335844</v>
      </c>
      <c r="P1072">
        <v>70889.43</v>
      </c>
      <c r="Q1072">
        <v>0</v>
      </c>
      <c r="R1072">
        <v>0</v>
      </c>
      <c r="S1072">
        <v>0.035</v>
      </c>
      <c r="T1072" t="s">
        <v>25</v>
      </c>
    </row>
    <row r="1073" spans="1:20" ht="15">
      <c r="A1073" t="s">
        <v>19</v>
      </c>
      <c r="B1073" t="s">
        <v>20</v>
      </c>
      <c r="C1073" t="str">
        <f t="shared" si="16"/>
        <v>31-Dec-21</v>
      </c>
      <c r="D1073" t="s">
        <v>21</v>
      </c>
      <c r="E1073" t="s">
        <v>22</v>
      </c>
      <c r="F1073" t="str">
        <f>"B5KQGT3"</f>
        <v>B5KQGT3</v>
      </c>
      <c r="G1073" t="s">
        <v>1106</v>
      </c>
      <c r="I1073" t="s">
        <v>1079</v>
      </c>
      <c r="J1073">
        <v>0.211078444</v>
      </c>
      <c r="K1073">
        <v>91800</v>
      </c>
      <c r="L1073">
        <v>636886.96</v>
      </c>
      <c r="M1073">
        <v>142769.75</v>
      </c>
      <c r="N1073">
        <v>8.92</v>
      </c>
      <c r="O1073">
        <v>818856</v>
      </c>
      <c r="P1073">
        <v>172842.85</v>
      </c>
      <c r="Q1073">
        <v>0</v>
      </c>
      <c r="R1073">
        <v>0</v>
      </c>
      <c r="S1073">
        <v>0.086</v>
      </c>
      <c r="T1073" t="s">
        <v>25</v>
      </c>
    </row>
    <row r="1074" spans="1:20" ht="15">
      <c r="A1074" t="s">
        <v>19</v>
      </c>
      <c r="B1074" t="s">
        <v>20</v>
      </c>
      <c r="C1074" t="str">
        <f t="shared" si="16"/>
        <v>31-Dec-21</v>
      </c>
      <c r="D1074" t="s">
        <v>21</v>
      </c>
      <c r="E1074" t="s">
        <v>22</v>
      </c>
      <c r="F1074" t="str">
        <f>"6695938"</f>
        <v>6695938</v>
      </c>
      <c r="G1074" t="s">
        <v>1107</v>
      </c>
      <c r="I1074" t="s">
        <v>1079</v>
      </c>
      <c r="J1074">
        <v>0.211078444</v>
      </c>
      <c r="K1074">
        <v>11550</v>
      </c>
      <c r="L1074">
        <v>291739.32</v>
      </c>
      <c r="M1074">
        <v>64496.07</v>
      </c>
      <c r="N1074">
        <v>20.6</v>
      </c>
      <c r="O1074">
        <v>237930</v>
      </c>
      <c r="P1074">
        <v>50221.89</v>
      </c>
      <c r="Q1074">
        <v>0</v>
      </c>
      <c r="R1074">
        <v>0</v>
      </c>
      <c r="S1074">
        <v>0.025</v>
      </c>
      <c r="T1074" t="s">
        <v>25</v>
      </c>
    </row>
    <row r="1075" spans="1:20" ht="15">
      <c r="A1075" t="s">
        <v>19</v>
      </c>
      <c r="B1075" t="s">
        <v>20</v>
      </c>
      <c r="C1075" t="str">
        <f t="shared" si="16"/>
        <v>31-Dec-21</v>
      </c>
      <c r="D1075" t="s">
        <v>21</v>
      </c>
      <c r="E1075" t="s">
        <v>22</v>
      </c>
      <c r="F1075" t="str">
        <f>"6703972"</f>
        <v>6703972</v>
      </c>
      <c r="G1075" t="s">
        <v>1108</v>
      </c>
      <c r="I1075" t="s">
        <v>1079</v>
      </c>
      <c r="J1075">
        <v>0.211078444</v>
      </c>
      <c r="K1075">
        <v>15800</v>
      </c>
      <c r="L1075">
        <v>325994.09</v>
      </c>
      <c r="M1075">
        <v>74366.77</v>
      </c>
      <c r="N1075">
        <v>18</v>
      </c>
      <c r="O1075">
        <v>284400</v>
      </c>
      <c r="P1075">
        <v>60030.71</v>
      </c>
      <c r="Q1075">
        <v>0</v>
      </c>
      <c r="R1075">
        <v>0</v>
      </c>
      <c r="S1075">
        <v>0.03</v>
      </c>
      <c r="T1075" t="s">
        <v>25</v>
      </c>
    </row>
    <row r="1076" spans="1:20" ht="15">
      <c r="A1076" t="s">
        <v>19</v>
      </c>
      <c r="B1076" t="s">
        <v>20</v>
      </c>
      <c r="C1076" t="str">
        <f t="shared" si="16"/>
        <v>31-Dec-21</v>
      </c>
      <c r="D1076" t="s">
        <v>21</v>
      </c>
      <c r="E1076" t="s">
        <v>22</v>
      </c>
      <c r="F1076" t="str">
        <f>"BF0J5S4"</f>
        <v>BF0J5S4</v>
      </c>
      <c r="G1076" t="s">
        <v>1109</v>
      </c>
      <c r="I1076" t="s">
        <v>1079</v>
      </c>
      <c r="J1076">
        <v>0.211078444</v>
      </c>
      <c r="K1076">
        <v>129300</v>
      </c>
      <c r="L1076">
        <v>324457.2</v>
      </c>
      <c r="M1076">
        <v>67911.67</v>
      </c>
      <c r="N1076">
        <v>5.78</v>
      </c>
      <c r="O1076">
        <v>747354</v>
      </c>
      <c r="P1076">
        <v>157750.32</v>
      </c>
      <c r="Q1076">
        <v>0</v>
      </c>
      <c r="R1076">
        <v>0</v>
      </c>
      <c r="S1076">
        <v>0.078</v>
      </c>
      <c r="T1076" t="s">
        <v>25</v>
      </c>
    </row>
    <row r="1077" spans="1:20" ht="15">
      <c r="A1077" t="s">
        <v>19</v>
      </c>
      <c r="B1077" t="s">
        <v>20</v>
      </c>
      <c r="C1077" t="str">
        <f t="shared" si="16"/>
        <v>31-Dec-21</v>
      </c>
      <c r="D1077" t="s">
        <v>21</v>
      </c>
      <c r="E1077" t="s">
        <v>22</v>
      </c>
      <c r="F1077" t="str">
        <f>"B012W42"</f>
        <v>B012W42</v>
      </c>
      <c r="G1077" t="s">
        <v>1110</v>
      </c>
      <c r="I1077" t="s">
        <v>1079</v>
      </c>
      <c r="J1077">
        <v>0.211078444</v>
      </c>
      <c r="K1077">
        <v>462600</v>
      </c>
      <c r="L1077">
        <v>1821452.46</v>
      </c>
      <c r="M1077">
        <v>400849.59</v>
      </c>
      <c r="N1077">
        <v>4.16</v>
      </c>
      <c r="O1077">
        <v>1924416</v>
      </c>
      <c r="P1077">
        <v>406202.73</v>
      </c>
      <c r="Q1077">
        <v>0</v>
      </c>
      <c r="R1077">
        <v>0</v>
      </c>
      <c r="S1077">
        <v>0.201</v>
      </c>
      <c r="T1077" t="s">
        <v>25</v>
      </c>
    </row>
    <row r="1078" spans="1:20" ht="15">
      <c r="A1078" t="s">
        <v>19</v>
      </c>
      <c r="B1078" t="s">
        <v>20</v>
      </c>
      <c r="C1078" t="str">
        <f t="shared" si="16"/>
        <v>31-Dec-21</v>
      </c>
      <c r="D1078" t="s">
        <v>21</v>
      </c>
      <c r="E1078" t="s">
        <v>22</v>
      </c>
      <c r="F1078" t="str">
        <f>"B00G234"</f>
        <v>B00G234</v>
      </c>
      <c r="G1078" t="s">
        <v>1111</v>
      </c>
      <c r="I1078" t="s">
        <v>1079</v>
      </c>
      <c r="J1078">
        <v>0.211078444</v>
      </c>
      <c r="K1078">
        <v>33550</v>
      </c>
      <c r="L1078">
        <v>155187.19</v>
      </c>
      <c r="M1078">
        <v>33488.58</v>
      </c>
      <c r="N1078">
        <v>4.57</v>
      </c>
      <c r="O1078">
        <v>153323.5</v>
      </c>
      <c r="P1078">
        <v>32363.29</v>
      </c>
      <c r="Q1078">
        <v>0</v>
      </c>
      <c r="R1078">
        <v>0</v>
      </c>
      <c r="S1078">
        <v>0.016</v>
      </c>
      <c r="T1078" t="s">
        <v>25</v>
      </c>
    </row>
    <row r="1079" spans="1:20" ht="15">
      <c r="A1079" t="s">
        <v>19</v>
      </c>
      <c r="B1079" t="s">
        <v>20</v>
      </c>
      <c r="C1079" t="str">
        <f t="shared" si="16"/>
        <v>31-Dec-21</v>
      </c>
      <c r="D1079" t="s">
        <v>21</v>
      </c>
      <c r="E1079" t="s">
        <v>22</v>
      </c>
      <c r="F1079" t="str">
        <f>"6244675"</f>
        <v>6244675</v>
      </c>
      <c r="G1079" t="s">
        <v>1112</v>
      </c>
      <c r="I1079" t="s">
        <v>1079</v>
      </c>
      <c r="J1079">
        <v>0.211078444</v>
      </c>
      <c r="K1079">
        <v>54600</v>
      </c>
      <c r="L1079">
        <v>304824.61</v>
      </c>
      <c r="M1079">
        <v>68314.04</v>
      </c>
      <c r="N1079">
        <v>5.37</v>
      </c>
      <c r="O1079">
        <v>293202</v>
      </c>
      <c r="P1079">
        <v>61888.62</v>
      </c>
      <c r="Q1079">
        <v>0</v>
      </c>
      <c r="R1079">
        <v>0</v>
      </c>
      <c r="S1079">
        <v>0.031</v>
      </c>
      <c r="T1079" t="s">
        <v>25</v>
      </c>
    </row>
    <row r="1080" spans="1:20" ht="15">
      <c r="A1080" t="s">
        <v>19</v>
      </c>
      <c r="B1080" t="s">
        <v>20</v>
      </c>
      <c r="C1080" t="str">
        <f t="shared" si="16"/>
        <v>31-Dec-21</v>
      </c>
      <c r="D1080" t="s">
        <v>21</v>
      </c>
      <c r="E1080" t="s">
        <v>22</v>
      </c>
      <c r="F1080" t="str">
        <f>"B29TTR1"</f>
        <v>B29TTR1</v>
      </c>
      <c r="G1080" t="s">
        <v>1113</v>
      </c>
      <c r="I1080" t="s">
        <v>1079</v>
      </c>
      <c r="J1080">
        <v>0.211078444</v>
      </c>
      <c r="K1080">
        <v>118118</v>
      </c>
      <c r="L1080">
        <v>41756.28</v>
      </c>
      <c r="M1080">
        <v>8565.05</v>
      </c>
      <c r="N1080">
        <v>2.32</v>
      </c>
      <c r="O1080">
        <v>274033.76</v>
      </c>
      <c r="P1080">
        <v>57842.62</v>
      </c>
      <c r="Q1080">
        <v>0</v>
      </c>
      <c r="R1080">
        <v>0</v>
      </c>
      <c r="S1080">
        <v>0.029</v>
      </c>
      <c r="T1080" t="s">
        <v>25</v>
      </c>
    </row>
    <row r="1081" spans="1:20" ht="15">
      <c r="A1081" t="s">
        <v>19</v>
      </c>
      <c r="B1081" t="s">
        <v>20</v>
      </c>
      <c r="C1081" t="str">
        <f t="shared" si="16"/>
        <v>31-Dec-21</v>
      </c>
      <c r="D1081" t="s">
        <v>21</v>
      </c>
      <c r="E1081" t="s">
        <v>22</v>
      </c>
      <c r="F1081" t="str">
        <f>"BF6RHY2"</f>
        <v>BF6RHY2</v>
      </c>
      <c r="G1081" t="s">
        <v>1114</v>
      </c>
      <c r="I1081" t="s">
        <v>1079</v>
      </c>
      <c r="J1081">
        <v>0.211078444</v>
      </c>
      <c r="K1081">
        <v>119004</v>
      </c>
      <c r="L1081">
        <v>641845</v>
      </c>
      <c r="M1081">
        <v>143253.19</v>
      </c>
      <c r="N1081">
        <v>3.76</v>
      </c>
      <c r="O1081">
        <v>447455.04</v>
      </c>
      <c r="P1081">
        <v>94448.11</v>
      </c>
      <c r="Q1081">
        <v>0</v>
      </c>
      <c r="R1081">
        <v>0</v>
      </c>
      <c r="S1081">
        <v>0.047</v>
      </c>
      <c r="T1081" t="s">
        <v>25</v>
      </c>
    </row>
    <row r="1082" spans="1:20" ht="15">
      <c r="A1082" t="s">
        <v>19</v>
      </c>
      <c r="B1082" t="s">
        <v>20</v>
      </c>
      <c r="C1082" t="str">
        <f t="shared" si="16"/>
        <v>31-Dec-21</v>
      </c>
      <c r="D1082" t="s">
        <v>21</v>
      </c>
      <c r="E1082" t="s">
        <v>22</v>
      </c>
      <c r="F1082" t="str">
        <f>"BF6RHX1"</f>
        <v>BF6RHX1</v>
      </c>
      <c r="G1082" t="s">
        <v>1115</v>
      </c>
      <c r="I1082" t="s">
        <v>1079</v>
      </c>
      <c r="J1082">
        <v>0.211078444</v>
      </c>
      <c r="K1082">
        <v>192418</v>
      </c>
      <c r="L1082">
        <v>659679.27</v>
      </c>
      <c r="M1082">
        <v>150347.05</v>
      </c>
      <c r="N1082">
        <v>0.595</v>
      </c>
      <c r="O1082">
        <v>114488.71</v>
      </c>
      <c r="P1082">
        <v>24166.1</v>
      </c>
      <c r="Q1082">
        <v>0</v>
      </c>
      <c r="R1082">
        <v>0</v>
      </c>
      <c r="S1082">
        <v>0.012</v>
      </c>
      <c r="T1082" t="s">
        <v>25</v>
      </c>
    </row>
    <row r="1083" spans="1:20" ht="15">
      <c r="A1083" t="s">
        <v>19</v>
      </c>
      <c r="B1083" t="s">
        <v>20</v>
      </c>
      <c r="C1083" t="str">
        <f t="shared" si="16"/>
        <v>31-Dec-21</v>
      </c>
      <c r="D1083" t="s">
        <v>21</v>
      </c>
      <c r="E1083" t="s">
        <v>22</v>
      </c>
      <c r="F1083" t="str">
        <f>"B1V7L36"</f>
        <v>B1V7L36</v>
      </c>
      <c r="G1083" t="s">
        <v>1116</v>
      </c>
      <c r="I1083" t="s">
        <v>1079</v>
      </c>
      <c r="J1083">
        <v>0.211078444</v>
      </c>
      <c r="K1083">
        <v>80496</v>
      </c>
      <c r="L1083">
        <v>336191.08</v>
      </c>
      <c r="M1083">
        <v>68725.05</v>
      </c>
      <c r="N1083">
        <v>1.47</v>
      </c>
      <c r="O1083">
        <v>118329.12</v>
      </c>
      <c r="P1083">
        <v>24976.73</v>
      </c>
      <c r="Q1083">
        <v>3895</v>
      </c>
      <c r="R1083">
        <v>822.15</v>
      </c>
      <c r="S1083">
        <v>0.013</v>
      </c>
      <c r="T1083" t="s">
        <v>25</v>
      </c>
    </row>
    <row r="1084" spans="1:20" ht="15">
      <c r="A1084" t="s">
        <v>19</v>
      </c>
      <c r="B1084" t="s">
        <v>20</v>
      </c>
      <c r="C1084" t="str">
        <f t="shared" si="16"/>
        <v>31-Dec-21</v>
      </c>
      <c r="D1084" t="s">
        <v>21</v>
      </c>
      <c r="E1084" t="s">
        <v>22</v>
      </c>
      <c r="F1084" t="str">
        <f>"6868398"</f>
        <v>6868398</v>
      </c>
      <c r="G1084" t="s">
        <v>1117</v>
      </c>
      <c r="I1084" t="s">
        <v>1079</v>
      </c>
      <c r="J1084">
        <v>0.211078444</v>
      </c>
      <c r="K1084">
        <v>36764</v>
      </c>
      <c r="L1084">
        <v>217859.08</v>
      </c>
      <c r="M1084">
        <v>51230.62</v>
      </c>
      <c r="N1084">
        <v>5.5</v>
      </c>
      <c r="O1084">
        <v>202202</v>
      </c>
      <c r="P1084">
        <v>42680.48</v>
      </c>
      <c r="Q1084">
        <v>0</v>
      </c>
      <c r="R1084">
        <v>0</v>
      </c>
      <c r="S1084">
        <v>0.021</v>
      </c>
      <c r="T1084" t="s">
        <v>25</v>
      </c>
    </row>
    <row r="1085" spans="1:20" ht="15">
      <c r="A1085" t="s">
        <v>19</v>
      </c>
      <c r="B1085" t="s">
        <v>20</v>
      </c>
      <c r="C1085" t="str">
        <f t="shared" si="16"/>
        <v>31-Dec-21</v>
      </c>
      <c r="D1085" t="s">
        <v>21</v>
      </c>
      <c r="E1085" t="s">
        <v>22</v>
      </c>
      <c r="F1085" t="str">
        <f>"6904612"</f>
        <v>6904612</v>
      </c>
      <c r="G1085" t="s">
        <v>1118</v>
      </c>
      <c r="I1085" t="s">
        <v>1079</v>
      </c>
      <c r="J1085">
        <v>0.211078444</v>
      </c>
      <c r="K1085">
        <v>125400</v>
      </c>
      <c r="L1085">
        <v>1661323.31</v>
      </c>
      <c r="M1085">
        <v>371431.1</v>
      </c>
      <c r="N1085">
        <v>9.34</v>
      </c>
      <c r="O1085">
        <v>1171236</v>
      </c>
      <c r="P1085">
        <v>247222.67</v>
      </c>
      <c r="Q1085">
        <v>0</v>
      </c>
      <c r="R1085">
        <v>0</v>
      </c>
      <c r="S1085">
        <v>0.123</v>
      </c>
      <c r="T1085" t="s">
        <v>25</v>
      </c>
    </row>
    <row r="1086" spans="1:20" ht="15">
      <c r="A1086" t="s">
        <v>19</v>
      </c>
      <c r="B1086" t="s">
        <v>20</v>
      </c>
      <c r="C1086" t="str">
        <f t="shared" si="16"/>
        <v>31-Dec-21</v>
      </c>
      <c r="D1086" t="s">
        <v>21</v>
      </c>
      <c r="E1086" t="s">
        <v>22</v>
      </c>
      <c r="F1086" t="str">
        <f>"B05L892"</f>
        <v>B05L892</v>
      </c>
      <c r="G1086" t="s">
        <v>1119</v>
      </c>
      <c r="I1086" t="s">
        <v>1079</v>
      </c>
      <c r="J1086">
        <v>0.211078444</v>
      </c>
      <c r="K1086">
        <v>168700</v>
      </c>
      <c r="L1086">
        <v>408114.16</v>
      </c>
      <c r="M1086">
        <v>86279.52</v>
      </c>
      <c r="N1086">
        <v>2.59</v>
      </c>
      <c r="O1086">
        <v>436933</v>
      </c>
      <c r="P1086">
        <v>92227.14</v>
      </c>
      <c r="Q1086">
        <v>2024.4</v>
      </c>
      <c r="R1086">
        <v>427.31</v>
      </c>
      <c r="S1086">
        <v>0.046</v>
      </c>
      <c r="T1086" t="s">
        <v>25</v>
      </c>
    </row>
    <row r="1087" spans="1:20" ht="15">
      <c r="A1087" t="s">
        <v>19</v>
      </c>
      <c r="B1087" t="s">
        <v>20</v>
      </c>
      <c r="C1087" t="str">
        <f t="shared" si="16"/>
        <v>31-Dec-21</v>
      </c>
      <c r="D1087" t="s">
        <v>21</v>
      </c>
      <c r="E1087" t="s">
        <v>22</v>
      </c>
      <c r="F1087" t="str">
        <f>"BDFM1K8"</f>
        <v>BDFM1K8</v>
      </c>
      <c r="G1087" t="s">
        <v>1120</v>
      </c>
      <c r="I1087" t="s">
        <v>1079</v>
      </c>
      <c r="J1087">
        <v>0.211078444</v>
      </c>
      <c r="K1087">
        <v>26000</v>
      </c>
      <c r="L1087">
        <v>115921.49</v>
      </c>
      <c r="M1087">
        <v>27091.6</v>
      </c>
      <c r="N1087">
        <v>4.05</v>
      </c>
      <c r="O1087">
        <v>105300</v>
      </c>
      <c r="P1087">
        <v>22226.56</v>
      </c>
      <c r="Q1087">
        <v>0</v>
      </c>
      <c r="R1087">
        <v>0</v>
      </c>
      <c r="S1087">
        <v>0.011</v>
      </c>
      <c r="T1087" t="s">
        <v>25</v>
      </c>
    </row>
    <row r="1088" spans="1:20" ht="15">
      <c r="A1088" t="s">
        <v>19</v>
      </c>
      <c r="B1088" t="s">
        <v>20</v>
      </c>
      <c r="C1088" t="str">
        <f t="shared" si="16"/>
        <v>31-Dec-21</v>
      </c>
      <c r="D1088" t="s">
        <v>21</v>
      </c>
      <c r="E1088" t="s">
        <v>22</v>
      </c>
      <c r="F1088" t="str">
        <f>"6436126"</f>
        <v>6436126</v>
      </c>
      <c r="G1088" t="s">
        <v>1121</v>
      </c>
      <c r="I1088" t="s">
        <v>1079</v>
      </c>
      <c r="J1088">
        <v>0.211078444</v>
      </c>
      <c r="K1088">
        <v>98946</v>
      </c>
      <c r="L1088">
        <v>113656.74</v>
      </c>
      <c r="M1088">
        <v>25789.98</v>
      </c>
      <c r="N1088">
        <v>0.58</v>
      </c>
      <c r="O1088">
        <v>57388.68</v>
      </c>
      <c r="P1088">
        <v>12113.51</v>
      </c>
      <c r="Q1088">
        <v>0</v>
      </c>
      <c r="R1088">
        <v>0</v>
      </c>
      <c r="S1088">
        <v>0.006</v>
      </c>
      <c r="T1088" t="s">
        <v>25</v>
      </c>
    </row>
    <row r="1089" spans="1:20" ht="15">
      <c r="A1089" t="s">
        <v>19</v>
      </c>
      <c r="B1089" t="s">
        <v>20</v>
      </c>
      <c r="C1089" t="str">
        <f t="shared" si="16"/>
        <v>31-Dec-21</v>
      </c>
      <c r="D1089" t="s">
        <v>21</v>
      </c>
      <c r="E1089" t="s">
        <v>39</v>
      </c>
      <c r="I1089" t="s">
        <v>1079</v>
      </c>
      <c r="J1089">
        <v>0.211078444</v>
      </c>
      <c r="K1089">
        <v>0</v>
      </c>
      <c r="L1089">
        <v>46387.94</v>
      </c>
      <c r="M1089">
        <v>9794.25</v>
      </c>
      <c r="N1089">
        <v>0</v>
      </c>
      <c r="O1089">
        <v>46387.94</v>
      </c>
      <c r="P1089">
        <v>9791.48</v>
      </c>
      <c r="Q1089">
        <v>0</v>
      </c>
      <c r="R1089">
        <v>0</v>
      </c>
      <c r="S1089">
        <v>0.005</v>
      </c>
      <c r="T1089" t="s">
        <v>1122</v>
      </c>
    </row>
    <row r="1090" spans="1:20" ht="15">
      <c r="A1090" t="s">
        <v>19</v>
      </c>
      <c r="B1090" t="s">
        <v>20</v>
      </c>
      <c r="C1090" t="str">
        <f aca="true" t="shared" si="17" ref="C1090:C1153">"31-Dec-21"</f>
        <v>31-Dec-21</v>
      </c>
      <c r="D1090" t="s">
        <v>21</v>
      </c>
      <c r="E1090" t="s">
        <v>39</v>
      </c>
      <c r="I1090" t="s">
        <v>1123</v>
      </c>
      <c r="J1090">
        <v>0.220347753</v>
      </c>
      <c r="K1090">
        <v>0</v>
      </c>
      <c r="L1090">
        <v>11364.45</v>
      </c>
      <c r="M1090">
        <v>3037.36</v>
      </c>
      <c r="N1090">
        <v>0</v>
      </c>
      <c r="O1090">
        <v>11364.45</v>
      </c>
      <c r="P1090">
        <v>2504.13</v>
      </c>
      <c r="Q1090">
        <v>0</v>
      </c>
      <c r="R1090">
        <v>0</v>
      </c>
      <c r="S1090">
        <v>0.001</v>
      </c>
      <c r="T1090" t="s">
        <v>1122</v>
      </c>
    </row>
    <row r="1091" spans="1:20" ht="15">
      <c r="A1091" t="s">
        <v>19</v>
      </c>
      <c r="B1091" t="s">
        <v>20</v>
      </c>
      <c r="C1091" t="str">
        <f t="shared" si="17"/>
        <v>31-Dec-21</v>
      </c>
      <c r="D1091" t="s">
        <v>21</v>
      </c>
      <c r="E1091" t="s">
        <v>22</v>
      </c>
      <c r="F1091" t="str">
        <f>"B1Z9Q99"</f>
        <v>B1Z9Q99</v>
      </c>
      <c r="G1091" t="s">
        <v>1124</v>
      </c>
      <c r="I1091" t="s">
        <v>1125</v>
      </c>
      <c r="J1091">
        <v>0.017244748</v>
      </c>
      <c r="K1091">
        <v>66800</v>
      </c>
      <c r="L1091">
        <v>2456040.49</v>
      </c>
      <c r="M1091">
        <v>44249.26</v>
      </c>
      <c r="N1091">
        <v>29.7</v>
      </c>
      <c r="O1091">
        <v>1983960</v>
      </c>
      <c r="P1091">
        <v>34212.89</v>
      </c>
      <c r="Q1091">
        <v>0</v>
      </c>
      <c r="R1091">
        <v>0</v>
      </c>
      <c r="S1091">
        <v>0.017</v>
      </c>
      <c r="T1091" t="s">
        <v>25</v>
      </c>
    </row>
    <row r="1092" spans="1:20" ht="15">
      <c r="A1092" t="s">
        <v>19</v>
      </c>
      <c r="B1092" t="s">
        <v>20</v>
      </c>
      <c r="C1092" t="str">
        <f t="shared" si="17"/>
        <v>31-Dec-21</v>
      </c>
      <c r="D1092" t="s">
        <v>21</v>
      </c>
      <c r="E1092" t="s">
        <v>22</v>
      </c>
      <c r="F1092" t="str">
        <f>"6147105"</f>
        <v>6147105</v>
      </c>
      <c r="G1092" t="s">
        <v>1126</v>
      </c>
      <c r="I1092" t="s">
        <v>1125</v>
      </c>
      <c r="J1092">
        <v>0.017244748</v>
      </c>
      <c r="K1092">
        <v>149900</v>
      </c>
      <c r="L1092">
        <v>3772214.66</v>
      </c>
      <c r="M1092">
        <v>66921.19</v>
      </c>
      <c r="N1092">
        <v>11.8</v>
      </c>
      <c r="O1092">
        <v>1768820</v>
      </c>
      <c r="P1092">
        <v>30502.85</v>
      </c>
      <c r="Q1092">
        <v>7345.1</v>
      </c>
      <c r="R1092">
        <v>126.67</v>
      </c>
      <c r="S1092">
        <v>0.015</v>
      </c>
      <c r="T1092" t="s">
        <v>25</v>
      </c>
    </row>
    <row r="1093" spans="1:20" ht="15">
      <c r="A1093" t="s">
        <v>19</v>
      </c>
      <c r="B1093" t="s">
        <v>20</v>
      </c>
      <c r="C1093" t="str">
        <f t="shared" si="17"/>
        <v>31-Dec-21</v>
      </c>
      <c r="D1093" t="s">
        <v>21</v>
      </c>
      <c r="E1093" t="s">
        <v>22</v>
      </c>
      <c r="F1093" t="str">
        <f>"B09JBT3"</f>
        <v>B09JBT3</v>
      </c>
      <c r="G1093" t="s">
        <v>1127</v>
      </c>
      <c r="I1093" t="s">
        <v>1125</v>
      </c>
      <c r="J1093">
        <v>0.017244748</v>
      </c>
      <c r="K1093">
        <v>11000</v>
      </c>
      <c r="L1093">
        <v>8207422.26</v>
      </c>
      <c r="M1093">
        <v>147830.31</v>
      </c>
      <c r="N1093">
        <v>831</v>
      </c>
      <c r="O1093">
        <v>9141000</v>
      </c>
      <c r="P1093">
        <v>157634.24</v>
      </c>
      <c r="Q1093">
        <v>26642</v>
      </c>
      <c r="R1093">
        <v>459.44</v>
      </c>
      <c r="S1093">
        <v>0.078</v>
      </c>
      <c r="T1093" t="s">
        <v>25</v>
      </c>
    </row>
    <row r="1094" spans="1:20" ht="15">
      <c r="A1094" t="s">
        <v>19</v>
      </c>
      <c r="B1094" t="s">
        <v>20</v>
      </c>
      <c r="C1094" t="str">
        <f t="shared" si="17"/>
        <v>31-Dec-21</v>
      </c>
      <c r="D1094" t="s">
        <v>21</v>
      </c>
      <c r="E1094" t="s">
        <v>22</v>
      </c>
      <c r="F1094" t="str">
        <f>"6055112"</f>
        <v>6055112</v>
      </c>
      <c r="G1094" t="s">
        <v>1128</v>
      </c>
      <c r="I1094" t="s">
        <v>1125</v>
      </c>
      <c r="J1094">
        <v>0.017244748</v>
      </c>
      <c r="K1094">
        <v>269380</v>
      </c>
      <c r="L1094">
        <v>10484913</v>
      </c>
      <c r="M1094">
        <v>185396.6</v>
      </c>
      <c r="N1094">
        <v>36.7</v>
      </c>
      <c r="O1094">
        <v>9886246</v>
      </c>
      <c r="P1094">
        <v>170485.82</v>
      </c>
      <c r="Q1094">
        <v>0</v>
      </c>
      <c r="R1094">
        <v>0</v>
      </c>
      <c r="S1094">
        <v>0.085</v>
      </c>
      <c r="T1094" t="s">
        <v>25</v>
      </c>
    </row>
    <row r="1095" spans="1:20" ht="15">
      <c r="A1095" t="s">
        <v>19</v>
      </c>
      <c r="B1095" t="s">
        <v>20</v>
      </c>
      <c r="C1095" t="str">
        <f t="shared" si="17"/>
        <v>31-Dec-21</v>
      </c>
      <c r="D1095" t="s">
        <v>21</v>
      </c>
      <c r="E1095" t="s">
        <v>22</v>
      </c>
      <c r="F1095" t="str">
        <f>"B5VJH76"</f>
        <v>B5VJH76</v>
      </c>
      <c r="G1095" t="s">
        <v>1129</v>
      </c>
      <c r="I1095" t="s">
        <v>1125</v>
      </c>
      <c r="J1095">
        <v>0.017244748</v>
      </c>
      <c r="K1095">
        <v>65516</v>
      </c>
      <c r="L1095">
        <v>7053249.83</v>
      </c>
      <c r="M1095">
        <v>124958.82</v>
      </c>
      <c r="N1095">
        <v>120.7</v>
      </c>
      <c r="O1095">
        <v>7907781.2</v>
      </c>
      <c r="P1095">
        <v>136367.69</v>
      </c>
      <c r="Q1095">
        <v>0</v>
      </c>
      <c r="R1095">
        <v>0</v>
      </c>
      <c r="S1095">
        <v>0.068</v>
      </c>
      <c r="T1095" t="s">
        <v>25</v>
      </c>
    </row>
    <row r="1096" spans="1:20" ht="15">
      <c r="A1096" t="s">
        <v>19</v>
      </c>
      <c r="B1096" t="s">
        <v>20</v>
      </c>
      <c r="C1096" t="str">
        <f t="shared" si="17"/>
        <v>31-Dec-21</v>
      </c>
      <c r="D1096" t="s">
        <v>21</v>
      </c>
      <c r="E1096" t="s">
        <v>22</v>
      </c>
      <c r="F1096" t="str">
        <f>"6074968"</f>
        <v>6074968</v>
      </c>
      <c r="G1096" t="s">
        <v>1130</v>
      </c>
      <c r="I1096" t="s">
        <v>1125</v>
      </c>
      <c r="J1096">
        <v>0.017244748</v>
      </c>
      <c r="K1096">
        <v>51000</v>
      </c>
      <c r="L1096">
        <v>4615410.1</v>
      </c>
      <c r="M1096">
        <v>80790.56</v>
      </c>
      <c r="N1096">
        <v>92.15</v>
      </c>
      <c r="O1096">
        <v>4699650</v>
      </c>
      <c r="P1096">
        <v>81044.28</v>
      </c>
      <c r="Q1096">
        <v>0</v>
      </c>
      <c r="R1096">
        <v>0</v>
      </c>
      <c r="S1096">
        <v>0.04</v>
      </c>
      <c r="T1096" t="s">
        <v>25</v>
      </c>
    </row>
    <row r="1097" spans="1:20" ht="15">
      <c r="A1097" t="s">
        <v>19</v>
      </c>
      <c r="B1097" t="s">
        <v>20</v>
      </c>
      <c r="C1097" t="str">
        <f t="shared" si="17"/>
        <v>31-Dec-21</v>
      </c>
      <c r="D1097" t="s">
        <v>21</v>
      </c>
      <c r="E1097" t="s">
        <v>22</v>
      </c>
      <c r="F1097" t="str">
        <f>"B7RLFB0"</f>
        <v>B7RLFB0</v>
      </c>
      <c r="G1097" t="s">
        <v>1131</v>
      </c>
      <c r="I1097" t="s">
        <v>1125</v>
      </c>
      <c r="J1097">
        <v>0.017244748</v>
      </c>
      <c r="K1097">
        <v>131600</v>
      </c>
      <c r="L1097">
        <v>1309079.82</v>
      </c>
      <c r="M1097">
        <v>22003.07</v>
      </c>
      <c r="N1097">
        <v>6.3</v>
      </c>
      <c r="O1097">
        <v>829080</v>
      </c>
      <c r="P1097">
        <v>14297.28</v>
      </c>
      <c r="Q1097">
        <v>0</v>
      </c>
      <c r="R1097">
        <v>0</v>
      </c>
      <c r="S1097">
        <v>0.007</v>
      </c>
      <c r="T1097" t="s">
        <v>25</v>
      </c>
    </row>
    <row r="1098" spans="1:20" ht="15">
      <c r="A1098" t="s">
        <v>19</v>
      </c>
      <c r="B1098" t="s">
        <v>20</v>
      </c>
      <c r="C1098" t="str">
        <f t="shared" si="17"/>
        <v>31-Dec-21</v>
      </c>
      <c r="D1098" t="s">
        <v>21</v>
      </c>
      <c r="E1098" t="s">
        <v>22</v>
      </c>
      <c r="F1098" t="str">
        <f>"6272483"</f>
        <v>6272483</v>
      </c>
      <c r="G1098" t="s">
        <v>1132</v>
      </c>
      <c r="I1098" t="s">
        <v>1125</v>
      </c>
      <c r="J1098">
        <v>0.017244748</v>
      </c>
      <c r="K1098">
        <v>140630</v>
      </c>
      <c r="L1098">
        <v>1724286.13</v>
      </c>
      <c r="M1098">
        <v>32440.22</v>
      </c>
      <c r="N1098">
        <v>7.71</v>
      </c>
      <c r="O1098">
        <v>1084257.3</v>
      </c>
      <c r="P1098">
        <v>18697.74</v>
      </c>
      <c r="Q1098">
        <v>0</v>
      </c>
      <c r="R1098">
        <v>0</v>
      </c>
      <c r="S1098">
        <v>0.009</v>
      </c>
      <c r="T1098" t="s">
        <v>25</v>
      </c>
    </row>
    <row r="1099" spans="1:20" ht="15">
      <c r="A1099" t="s">
        <v>19</v>
      </c>
      <c r="B1099" t="s">
        <v>20</v>
      </c>
      <c r="C1099" t="str">
        <f t="shared" si="17"/>
        <v>31-Dec-21</v>
      </c>
      <c r="D1099" t="s">
        <v>21</v>
      </c>
      <c r="E1099" t="s">
        <v>22</v>
      </c>
      <c r="F1099" t="str">
        <f>"B77H110"</f>
        <v>B77H110</v>
      </c>
      <c r="G1099" t="s">
        <v>1133</v>
      </c>
      <c r="I1099" t="s">
        <v>1125</v>
      </c>
      <c r="J1099">
        <v>0.017244748</v>
      </c>
      <c r="K1099">
        <v>3682</v>
      </c>
      <c r="L1099">
        <v>3664697.24</v>
      </c>
      <c r="M1099">
        <v>64696.78</v>
      </c>
      <c r="N1099">
        <v>540</v>
      </c>
      <c r="O1099">
        <v>1988280</v>
      </c>
      <c r="P1099">
        <v>34287.39</v>
      </c>
      <c r="Q1099">
        <v>0</v>
      </c>
      <c r="R1099">
        <v>0</v>
      </c>
      <c r="S1099">
        <v>0.017</v>
      </c>
      <c r="T1099" t="s">
        <v>25</v>
      </c>
    </row>
    <row r="1100" spans="1:20" ht="15">
      <c r="A1100" t="s">
        <v>19</v>
      </c>
      <c r="B1100" t="s">
        <v>20</v>
      </c>
      <c r="C1100" t="str">
        <f t="shared" si="17"/>
        <v>31-Dec-21</v>
      </c>
      <c r="D1100" t="s">
        <v>21</v>
      </c>
      <c r="E1100" t="s">
        <v>22</v>
      </c>
      <c r="F1100" t="str">
        <f>"6284864"</f>
        <v>6284864</v>
      </c>
      <c r="G1100" t="s">
        <v>1134</v>
      </c>
      <c r="I1100" t="s">
        <v>1125</v>
      </c>
      <c r="J1100">
        <v>0.017244748</v>
      </c>
      <c r="K1100">
        <v>950</v>
      </c>
      <c r="L1100">
        <v>1983209.81</v>
      </c>
      <c r="M1100">
        <v>35320.95</v>
      </c>
      <c r="N1100">
        <v>3322</v>
      </c>
      <c r="O1100">
        <v>3155900</v>
      </c>
      <c r="P1100">
        <v>54422.7</v>
      </c>
      <c r="Q1100">
        <v>0</v>
      </c>
      <c r="R1100">
        <v>0</v>
      </c>
      <c r="S1100">
        <v>0.027</v>
      </c>
      <c r="T1100" t="s">
        <v>25</v>
      </c>
    </row>
    <row r="1101" spans="1:20" ht="15">
      <c r="A1101" t="s">
        <v>19</v>
      </c>
      <c r="B1101" t="s">
        <v>20</v>
      </c>
      <c r="C1101" t="str">
        <f t="shared" si="17"/>
        <v>31-Dec-21</v>
      </c>
      <c r="D1101" t="s">
        <v>21</v>
      </c>
      <c r="E1101" t="s">
        <v>22</v>
      </c>
      <c r="F1101" t="str">
        <f>"6455819"</f>
        <v>6455819</v>
      </c>
      <c r="G1101" t="s">
        <v>1135</v>
      </c>
      <c r="I1101" t="s">
        <v>1125</v>
      </c>
      <c r="J1101">
        <v>0.017244748</v>
      </c>
      <c r="K1101">
        <v>36390</v>
      </c>
      <c r="L1101">
        <v>3939758.05</v>
      </c>
      <c r="M1101">
        <v>69772.73</v>
      </c>
      <c r="N1101">
        <v>200</v>
      </c>
      <c r="O1101">
        <v>7278000</v>
      </c>
      <c r="P1101">
        <v>125507.27</v>
      </c>
      <c r="Q1101">
        <v>0</v>
      </c>
      <c r="R1101">
        <v>0</v>
      </c>
      <c r="S1101">
        <v>0.062</v>
      </c>
      <c r="T1101" t="s">
        <v>25</v>
      </c>
    </row>
    <row r="1102" spans="1:20" ht="15">
      <c r="A1102" t="s">
        <v>19</v>
      </c>
      <c r="B1102" t="s">
        <v>20</v>
      </c>
      <c r="C1102" t="str">
        <f t="shared" si="17"/>
        <v>31-Dec-21</v>
      </c>
      <c r="D1102" t="s">
        <v>21</v>
      </c>
      <c r="E1102" t="s">
        <v>22</v>
      </c>
      <c r="F1102" t="str">
        <f>"6466457"</f>
        <v>6466457</v>
      </c>
      <c r="G1102" t="s">
        <v>1136</v>
      </c>
      <c r="I1102" t="s">
        <v>1125</v>
      </c>
      <c r="J1102">
        <v>0.017244748</v>
      </c>
      <c r="K1102">
        <v>104398</v>
      </c>
      <c r="L1102">
        <v>6456904.17</v>
      </c>
      <c r="M1102">
        <v>109864.77</v>
      </c>
      <c r="N1102">
        <v>53</v>
      </c>
      <c r="O1102">
        <v>5533094</v>
      </c>
      <c r="P1102">
        <v>95416.81</v>
      </c>
      <c r="Q1102">
        <v>0</v>
      </c>
      <c r="R1102">
        <v>0</v>
      </c>
      <c r="S1102">
        <v>0.047</v>
      </c>
      <c r="T1102" t="s">
        <v>25</v>
      </c>
    </row>
    <row r="1103" spans="1:20" ht="15">
      <c r="A1103" t="s">
        <v>19</v>
      </c>
      <c r="B1103" t="s">
        <v>20</v>
      </c>
      <c r="C1103" t="str">
        <f t="shared" si="17"/>
        <v>31-Dec-21</v>
      </c>
      <c r="D1103" t="s">
        <v>21</v>
      </c>
      <c r="E1103" t="s">
        <v>22</v>
      </c>
      <c r="F1103" t="str">
        <f>"6474494"</f>
        <v>6474494</v>
      </c>
      <c r="G1103" t="s">
        <v>1137</v>
      </c>
      <c r="I1103" t="s">
        <v>1125</v>
      </c>
      <c r="J1103">
        <v>0.017244748</v>
      </c>
      <c r="K1103">
        <v>11970</v>
      </c>
      <c r="L1103">
        <v>2365872.03</v>
      </c>
      <c r="M1103">
        <v>41979.28</v>
      </c>
      <c r="N1103">
        <v>216.4</v>
      </c>
      <c r="O1103">
        <v>2590308</v>
      </c>
      <c r="P1103">
        <v>44669.21</v>
      </c>
      <c r="Q1103">
        <v>0</v>
      </c>
      <c r="R1103">
        <v>0</v>
      </c>
      <c r="S1103">
        <v>0.022</v>
      </c>
      <c r="T1103" t="s">
        <v>25</v>
      </c>
    </row>
    <row r="1104" spans="1:20" ht="15">
      <c r="A1104" t="s">
        <v>19</v>
      </c>
      <c r="B1104" t="s">
        <v>20</v>
      </c>
      <c r="C1104" t="str">
        <f t="shared" si="17"/>
        <v>31-Dec-21</v>
      </c>
      <c r="D1104" t="s">
        <v>21</v>
      </c>
      <c r="E1104" t="s">
        <v>22</v>
      </c>
      <c r="F1104" t="str">
        <f>"B92RW83"</f>
        <v>B92RW83</v>
      </c>
      <c r="G1104" t="s">
        <v>1138</v>
      </c>
      <c r="I1104" t="s">
        <v>1125</v>
      </c>
      <c r="J1104">
        <v>0.017244748</v>
      </c>
      <c r="K1104">
        <v>87000</v>
      </c>
      <c r="L1104">
        <v>1340768.02</v>
      </c>
      <c r="M1104">
        <v>23836.91</v>
      </c>
      <c r="N1104">
        <v>9.9</v>
      </c>
      <c r="O1104">
        <v>861300</v>
      </c>
      <c r="P1104">
        <v>14852.9</v>
      </c>
      <c r="Q1104">
        <v>0</v>
      </c>
      <c r="R1104">
        <v>0</v>
      </c>
      <c r="S1104">
        <v>0.007</v>
      </c>
      <c r="T1104" t="s">
        <v>25</v>
      </c>
    </row>
    <row r="1105" spans="1:20" ht="15">
      <c r="A1105" t="s">
        <v>19</v>
      </c>
      <c r="B1105" t="s">
        <v>20</v>
      </c>
      <c r="C1105" t="str">
        <f t="shared" si="17"/>
        <v>31-Dec-21</v>
      </c>
      <c r="D1105" t="s">
        <v>21</v>
      </c>
      <c r="E1105" t="s">
        <v>22</v>
      </c>
      <c r="F1105" t="str">
        <f>"B247XZ6"</f>
        <v>B247XZ6</v>
      </c>
      <c r="G1105" t="s">
        <v>1139</v>
      </c>
      <c r="I1105" t="s">
        <v>1125</v>
      </c>
      <c r="J1105">
        <v>0.017244748</v>
      </c>
      <c r="K1105">
        <v>6120</v>
      </c>
      <c r="L1105">
        <v>1855408.33</v>
      </c>
      <c r="M1105">
        <v>33137.12</v>
      </c>
      <c r="N1105">
        <v>295.2</v>
      </c>
      <c r="O1105">
        <v>1806624</v>
      </c>
      <c r="P1105">
        <v>31154.78</v>
      </c>
      <c r="Q1105">
        <v>0</v>
      </c>
      <c r="R1105">
        <v>0</v>
      </c>
      <c r="S1105">
        <v>0.015</v>
      </c>
      <c r="T1105" t="s">
        <v>25</v>
      </c>
    </row>
    <row r="1106" spans="1:20" ht="15">
      <c r="A1106" t="s">
        <v>19</v>
      </c>
      <c r="B1106" t="s">
        <v>20</v>
      </c>
      <c r="C1106" t="str">
        <f t="shared" si="17"/>
        <v>31-Dec-21</v>
      </c>
      <c r="D1106" t="s">
        <v>21</v>
      </c>
      <c r="E1106" t="s">
        <v>22</v>
      </c>
      <c r="F1106" t="str">
        <f>"6563648"</f>
        <v>6563648</v>
      </c>
      <c r="G1106" t="s">
        <v>1140</v>
      </c>
      <c r="I1106" t="s">
        <v>1125</v>
      </c>
      <c r="J1106">
        <v>0.017244748</v>
      </c>
      <c r="K1106">
        <v>443400</v>
      </c>
      <c r="L1106">
        <v>1978717.2</v>
      </c>
      <c r="M1106">
        <v>36096.43</v>
      </c>
      <c r="N1106">
        <v>3.15</v>
      </c>
      <c r="O1106">
        <v>1396710</v>
      </c>
      <c r="P1106">
        <v>24085.91</v>
      </c>
      <c r="Q1106">
        <v>0</v>
      </c>
      <c r="R1106">
        <v>0</v>
      </c>
      <c r="S1106">
        <v>0.012</v>
      </c>
      <c r="T1106" t="s">
        <v>25</v>
      </c>
    </row>
    <row r="1107" spans="1:20" ht="15">
      <c r="A1107" t="s">
        <v>19</v>
      </c>
      <c r="B1107" t="s">
        <v>20</v>
      </c>
      <c r="C1107" t="str">
        <f t="shared" si="17"/>
        <v>31-Dec-21</v>
      </c>
      <c r="D1107" t="s">
        <v>21</v>
      </c>
      <c r="E1107" t="s">
        <v>22</v>
      </c>
      <c r="F1107" t="str">
        <f>"B1L8838"</f>
        <v>B1L8838</v>
      </c>
      <c r="G1107" t="s">
        <v>1141</v>
      </c>
      <c r="I1107" t="s">
        <v>1125</v>
      </c>
      <c r="J1107">
        <v>0.017244748</v>
      </c>
      <c r="K1107">
        <v>497000</v>
      </c>
      <c r="L1107">
        <v>2911352.03</v>
      </c>
      <c r="M1107">
        <v>53778.05</v>
      </c>
      <c r="N1107">
        <v>3.9</v>
      </c>
      <c r="O1107">
        <v>1938300</v>
      </c>
      <c r="P1107">
        <v>33425.49</v>
      </c>
      <c r="Q1107">
        <v>0</v>
      </c>
      <c r="R1107">
        <v>0</v>
      </c>
      <c r="S1107">
        <v>0.017</v>
      </c>
      <c r="T1107" t="s">
        <v>25</v>
      </c>
    </row>
    <row r="1108" spans="1:20" ht="15">
      <c r="A1108" t="s">
        <v>19</v>
      </c>
      <c r="B1108" t="s">
        <v>20</v>
      </c>
      <c r="C1108" t="str">
        <f t="shared" si="17"/>
        <v>31-Dec-21</v>
      </c>
      <c r="D1108" t="s">
        <v>21</v>
      </c>
      <c r="E1108" t="s">
        <v>22</v>
      </c>
      <c r="F1108" t="str">
        <f>"6514442"</f>
        <v>6514442</v>
      </c>
      <c r="G1108" t="s">
        <v>1142</v>
      </c>
      <c r="I1108" t="s">
        <v>1125</v>
      </c>
      <c r="J1108">
        <v>0.017244748</v>
      </c>
      <c r="K1108">
        <v>71501</v>
      </c>
      <c r="L1108">
        <v>4634202.26</v>
      </c>
      <c r="M1108">
        <v>80206</v>
      </c>
      <c r="N1108">
        <v>55.7</v>
      </c>
      <c r="O1108">
        <v>3982605.7</v>
      </c>
      <c r="P1108">
        <v>68679.03</v>
      </c>
      <c r="Q1108">
        <v>0</v>
      </c>
      <c r="R1108">
        <v>0</v>
      </c>
      <c r="S1108">
        <v>0.034</v>
      </c>
      <c r="T1108" t="s">
        <v>25</v>
      </c>
    </row>
    <row r="1109" spans="1:20" ht="15">
      <c r="A1109" t="s">
        <v>19</v>
      </c>
      <c r="B1109" t="s">
        <v>20</v>
      </c>
      <c r="C1109" t="str">
        <f t="shared" si="17"/>
        <v>31-Dec-21</v>
      </c>
      <c r="D1109" t="s">
        <v>21</v>
      </c>
      <c r="E1109" t="s">
        <v>22</v>
      </c>
      <c r="F1109" t="str">
        <f>"BMDTTT9"</f>
        <v>BMDTTT9</v>
      </c>
      <c r="G1109" t="s">
        <v>1143</v>
      </c>
      <c r="I1109" t="s">
        <v>1125</v>
      </c>
      <c r="J1109">
        <v>0.017244748</v>
      </c>
      <c r="K1109">
        <v>100500</v>
      </c>
      <c r="L1109">
        <v>1540891.73</v>
      </c>
      <c r="M1109">
        <v>27317.71</v>
      </c>
      <c r="N1109">
        <v>16.2</v>
      </c>
      <c r="O1109">
        <v>1628100</v>
      </c>
      <c r="P1109">
        <v>28076.17</v>
      </c>
      <c r="Q1109">
        <v>0</v>
      </c>
      <c r="R1109">
        <v>0</v>
      </c>
      <c r="S1109">
        <v>0.014</v>
      </c>
      <c r="T1109" t="s">
        <v>25</v>
      </c>
    </row>
    <row r="1110" spans="1:20" ht="15">
      <c r="A1110" t="s">
        <v>19</v>
      </c>
      <c r="B1110" t="s">
        <v>20</v>
      </c>
      <c r="C1110" t="str">
        <f t="shared" si="17"/>
        <v>31-Dec-21</v>
      </c>
      <c r="D1110" t="s">
        <v>21</v>
      </c>
      <c r="E1110" t="s">
        <v>22</v>
      </c>
      <c r="F1110" t="str">
        <f>"BDGN274"</f>
        <v>BDGN274</v>
      </c>
      <c r="G1110" t="s">
        <v>1144</v>
      </c>
      <c r="I1110" t="s">
        <v>1125</v>
      </c>
      <c r="J1110">
        <v>0.017244748</v>
      </c>
      <c r="K1110">
        <v>2855</v>
      </c>
      <c r="L1110">
        <v>5081503.65</v>
      </c>
      <c r="M1110">
        <v>88558.21</v>
      </c>
      <c r="N1110">
        <v>1812</v>
      </c>
      <c r="O1110">
        <v>5173260</v>
      </c>
      <c r="P1110">
        <v>89211.56</v>
      </c>
      <c r="Q1110">
        <v>0</v>
      </c>
      <c r="R1110">
        <v>0</v>
      </c>
      <c r="S1110">
        <v>0.044</v>
      </c>
      <c r="T1110" t="s">
        <v>25</v>
      </c>
    </row>
    <row r="1111" spans="1:20" ht="15">
      <c r="A1111" t="s">
        <v>19</v>
      </c>
      <c r="B1111" t="s">
        <v>20</v>
      </c>
      <c r="C1111" t="str">
        <f t="shared" si="17"/>
        <v>31-Dec-21</v>
      </c>
      <c r="D1111" t="s">
        <v>21</v>
      </c>
      <c r="E1111" t="s">
        <v>22</v>
      </c>
      <c r="F1111" t="str">
        <f>"B725S29"</f>
        <v>B725S29</v>
      </c>
      <c r="G1111" t="s">
        <v>1145</v>
      </c>
      <c r="I1111" t="s">
        <v>1125</v>
      </c>
      <c r="J1111">
        <v>0.017244748</v>
      </c>
      <c r="K1111">
        <v>36000</v>
      </c>
      <c r="L1111">
        <v>1739138.53</v>
      </c>
      <c r="M1111">
        <v>30304.51</v>
      </c>
      <c r="N1111">
        <v>39.3</v>
      </c>
      <c r="O1111">
        <v>1414800</v>
      </c>
      <c r="P1111">
        <v>24397.87</v>
      </c>
      <c r="Q1111">
        <v>0</v>
      </c>
      <c r="R1111">
        <v>0</v>
      </c>
      <c r="S1111">
        <v>0.012</v>
      </c>
      <c r="T1111" t="s">
        <v>25</v>
      </c>
    </row>
    <row r="1112" spans="1:20" ht="15">
      <c r="A1112" t="s">
        <v>19</v>
      </c>
      <c r="B1112" t="s">
        <v>20</v>
      </c>
      <c r="C1112" t="str">
        <f t="shared" si="17"/>
        <v>31-Dec-21</v>
      </c>
      <c r="D1112" t="s">
        <v>21</v>
      </c>
      <c r="E1112" t="s">
        <v>22</v>
      </c>
      <c r="F1112" t="str">
        <f>"B068DB9"</f>
        <v>B068DB9</v>
      </c>
      <c r="G1112" t="s">
        <v>1146</v>
      </c>
      <c r="I1112" t="s">
        <v>1125</v>
      </c>
      <c r="J1112">
        <v>0.017244748</v>
      </c>
      <c r="K1112">
        <v>15620</v>
      </c>
      <c r="L1112">
        <v>10674085.35</v>
      </c>
      <c r="M1112">
        <v>187199.97</v>
      </c>
      <c r="N1112">
        <v>943</v>
      </c>
      <c r="O1112">
        <v>14729660</v>
      </c>
      <c r="P1112">
        <v>254009.27</v>
      </c>
      <c r="Q1112">
        <v>0</v>
      </c>
      <c r="R1112">
        <v>0</v>
      </c>
      <c r="S1112">
        <v>0.126</v>
      </c>
      <c r="T1112" t="s">
        <v>25</v>
      </c>
    </row>
    <row r="1113" spans="1:20" ht="15">
      <c r="A1113" t="s">
        <v>19</v>
      </c>
      <c r="B1113" t="s">
        <v>20</v>
      </c>
      <c r="C1113" t="str">
        <f t="shared" si="17"/>
        <v>31-Dec-21</v>
      </c>
      <c r="D1113" t="s">
        <v>21</v>
      </c>
      <c r="E1113" t="s">
        <v>22</v>
      </c>
      <c r="F1113" t="str">
        <f>"6818843"</f>
        <v>6818843</v>
      </c>
      <c r="G1113" t="s">
        <v>1147</v>
      </c>
      <c r="I1113" t="s">
        <v>1125</v>
      </c>
      <c r="J1113">
        <v>0.017244748</v>
      </c>
      <c r="K1113">
        <v>278600</v>
      </c>
      <c r="L1113">
        <v>7309238.82</v>
      </c>
      <c r="M1113">
        <v>127075.13</v>
      </c>
      <c r="N1113">
        <v>33.9</v>
      </c>
      <c r="O1113">
        <v>9444540</v>
      </c>
      <c r="P1113">
        <v>162868.71</v>
      </c>
      <c r="Q1113">
        <v>0</v>
      </c>
      <c r="R1113">
        <v>0</v>
      </c>
      <c r="S1113">
        <v>0.081</v>
      </c>
      <c r="T1113" t="s">
        <v>25</v>
      </c>
    </row>
    <row r="1114" spans="1:20" ht="15">
      <c r="A1114" t="s">
        <v>19</v>
      </c>
      <c r="B1114" t="s">
        <v>20</v>
      </c>
      <c r="C1114" t="str">
        <f t="shared" si="17"/>
        <v>31-Dec-21</v>
      </c>
      <c r="D1114" t="s">
        <v>21</v>
      </c>
      <c r="E1114" t="s">
        <v>22</v>
      </c>
      <c r="F1114" t="str">
        <f>"B56DTZ5"</f>
        <v>B56DTZ5</v>
      </c>
      <c r="G1114" t="s">
        <v>1148</v>
      </c>
      <c r="I1114" t="s">
        <v>1125</v>
      </c>
      <c r="J1114">
        <v>0.017244748</v>
      </c>
      <c r="K1114">
        <v>12060</v>
      </c>
      <c r="L1114">
        <v>2081015.24</v>
      </c>
      <c r="M1114">
        <v>34862.82</v>
      </c>
      <c r="N1114">
        <v>114.9</v>
      </c>
      <c r="O1114">
        <v>1385694</v>
      </c>
      <c r="P1114">
        <v>23895.94</v>
      </c>
      <c r="Q1114">
        <v>2954.7</v>
      </c>
      <c r="R1114">
        <v>50.95</v>
      </c>
      <c r="S1114">
        <v>0.012</v>
      </c>
      <c r="T1114" t="s">
        <v>25</v>
      </c>
    </row>
    <row r="1115" spans="1:20" ht="15">
      <c r="A1115" t="s">
        <v>19</v>
      </c>
      <c r="B1115" t="s">
        <v>20</v>
      </c>
      <c r="C1115" t="str">
        <f t="shared" si="17"/>
        <v>31-Dec-21</v>
      </c>
      <c r="D1115" t="s">
        <v>21</v>
      </c>
      <c r="E1115" t="s">
        <v>22</v>
      </c>
      <c r="F1115" t="str">
        <f>"BDTYKJ2"</f>
        <v>BDTYKJ2</v>
      </c>
      <c r="G1115" t="s">
        <v>1149</v>
      </c>
      <c r="I1115" t="s">
        <v>1125</v>
      </c>
      <c r="J1115">
        <v>0.017244748</v>
      </c>
      <c r="K1115">
        <v>22080</v>
      </c>
      <c r="L1115">
        <v>2373526.25</v>
      </c>
      <c r="M1115">
        <v>39763.19</v>
      </c>
      <c r="N1115">
        <v>71.4</v>
      </c>
      <c r="O1115">
        <v>1576512</v>
      </c>
      <c r="P1115">
        <v>27186.55</v>
      </c>
      <c r="Q1115">
        <v>0</v>
      </c>
      <c r="R1115">
        <v>0</v>
      </c>
      <c r="S1115">
        <v>0.013</v>
      </c>
      <c r="T1115" t="s">
        <v>25</v>
      </c>
    </row>
    <row r="1116" spans="1:20" ht="15">
      <c r="A1116" t="s">
        <v>19</v>
      </c>
      <c r="B1116" t="s">
        <v>20</v>
      </c>
      <c r="C1116" t="str">
        <f t="shared" si="17"/>
        <v>31-Dec-21</v>
      </c>
      <c r="D1116" t="s">
        <v>21</v>
      </c>
      <c r="E1116" t="s">
        <v>22</v>
      </c>
      <c r="F1116" t="str">
        <f>"BQ13Z04"</f>
        <v>BQ13Z04</v>
      </c>
      <c r="G1116" t="s">
        <v>1150</v>
      </c>
      <c r="I1116" t="s">
        <v>1125</v>
      </c>
      <c r="J1116">
        <v>0.017244748</v>
      </c>
      <c r="K1116">
        <v>55760</v>
      </c>
      <c r="L1116">
        <v>2135172.66</v>
      </c>
      <c r="M1116">
        <v>43920.04</v>
      </c>
      <c r="N1116">
        <v>21.35</v>
      </c>
      <c r="O1116">
        <v>1190476</v>
      </c>
      <c r="P1116">
        <v>20529.46</v>
      </c>
      <c r="Q1116">
        <v>0</v>
      </c>
      <c r="R1116">
        <v>0</v>
      </c>
      <c r="S1116">
        <v>0.01</v>
      </c>
      <c r="T1116" t="s">
        <v>25</v>
      </c>
    </row>
    <row r="1117" spans="1:20" ht="15">
      <c r="A1117" t="s">
        <v>19</v>
      </c>
      <c r="B1117" t="s">
        <v>20</v>
      </c>
      <c r="C1117" t="str">
        <f t="shared" si="17"/>
        <v>31-Dec-21</v>
      </c>
      <c r="D1117" t="s">
        <v>21</v>
      </c>
      <c r="E1117" t="s">
        <v>22</v>
      </c>
      <c r="F1117" t="str">
        <f>"6919519"</f>
        <v>6919519</v>
      </c>
      <c r="G1117" t="s">
        <v>1151</v>
      </c>
      <c r="I1117" t="s">
        <v>1125</v>
      </c>
      <c r="J1117">
        <v>0.017244748</v>
      </c>
      <c r="K1117">
        <v>21830</v>
      </c>
      <c r="L1117">
        <v>3389343.92</v>
      </c>
      <c r="M1117">
        <v>61358.43</v>
      </c>
      <c r="N1117">
        <v>128</v>
      </c>
      <c r="O1117">
        <v>2794240</v>
      </c>
      <c r="P1117">
        <v>48185.96</v>
      </c>
      <c r="Q1117">
        <v>0</v>
      </c>
      <c r="R1117">
        <v>0</v>
      </c>
      <c r="S1117">
        <v>0.024</v>
      </c>
      <c r="T1117" t="s">
        <v>25</v>
      </c>
    </row>
    <row r="1118" spans="1:20" ht="15">
      <c r="A1118" t="s">
        <v>19</v>
      </c>
      <c r="B1118" t="s">
        <v>20</v>
      </c>
      <c r="C1118" t="str">
        <f t="shared" si="17"/>
        <v>31-Dec-21</v>
      </c>
      <c r="D1118" t="s">
        <v>21</v>
      </c>
      <c r="E1118" t="s">
        <v>39</v>
      </c>
      <c r="I1118" t="s">
        <v>1125</v>
      </c>
      <c r="J1118">
        <v>0.017244748</v>
      </c>
      <c r="K1118">
        <v>0</v>
      </c>
      <c r="L1118">
        <v>306863.6</v>
      </c>
      <c r="M1118">
        <v>5363.28</v>
      </c>
      <c r="N1118">
        <v>0</v>
      </c>
      <c r="O1118">
        <v>306863.6</v>
      </c>
      <c r="P1118">
        <v>5291.78</v>
      </c>
      <c r="Q1118">
        <v>0</v>
      </c>
      <c r="R1118">
        <v>0</v>
      </c>
      <c r="S1118">
        <v>0.003</v>
      </c>
      <c r="T1118" t="s">
        <v>1152</v>
      </c>
    </row>
    <row r="1119" spans="1:20" ht="15">
      <c r="A1119" t="s">
        <v>19</v>
      </c>
      <c r="B1119" t="s">
        <v>20</v>
      </c>
      <c r="C1119" t="str">
        <f t="shared" si="17"/>
        <v>31-Dec-21</v>
      </c>
      <c r="D1119" t="s">
        <v>21</v>
      </c>
      <c r="E1119" t="s">
        <v>22</v>
      </c>
      <c r="F1119" t="str">
        <f>"B282PJ5"</f>
        <v>B282PJ5</v>
      </c>
      <c r="G1119" t="s">
        <v>1153</v>
      </c>
      <c r="I1119" t="s">
        <v>1154</v>
      </c>
      <c r="J1119">
        <v>0.004982169</v>
      </c>
      <c r="K1119">
        <v>2313</v>
      </c>
      <c r="L1119">
        <v>303780.6</v>
      </c>
      <c r="M1119">
        <v>1621.07</v>
      </c>
      <c r="N1119">
        <v>116.62</v>
      </c>
      <c r="O1119">
        <v>269742.06</v>
      </c>
      <c r="P1119">
        <v>1343.9</v>
      </c>
      <c r="Q1119">
        <v>0</v>
      </c>
      <c r="R1119">
        <v>0</v>
      </c>
      <c r="S1119">
        <v>0.001</v>
      </c>
      <c r="T1119" t="s">
        <v>25</v>
      </c>
    </row>
    <row r="1120" spans="1:20" ht="15">
      <c r="A1120" t="s">
        <v>19</v>
      </c>
      <c r="B1120" t="s">
        <v>20</v>
      </c>
      <c r="C1120" t="str">
        <f t="shared" si="17"/>
        <v>31-Dec-21</v>
      </c>
      <c r="D1120" t="s">
        <v>21</v>
      </c>
      <c r="E1120" t="s">
        <v>22</v>
      </c>
      <c r="F1120" t="str">
        <f>"6732716"</f>
        <v>6732716</v>
      </c>
      <c r="G1120" t="s">
        <v>1155</v>
      </c>
      <c r="I1120" t="s">
        <v>1154</v>
      </c>
      <c r="J1120">
        <v>0.004982169</v>
      </c>
      <c r="K1120">
        <v>32600</v>
      </c>
      <c r="L1120">
        <v>4218500.09</v>
      </c>
      <c r="M1120">
        <v>24702.28</v>
      </c>
      <c r="N1120">
        <v>86.2</v>
      </c>
      <c r="O1120">
        <v>2810120</v>
      </c>
      <c r="P1120">
        <v>14000.49</v>
      </c>
      <c r="Q1120">
        <v>105950</v>
      </c>
      <c r="R1120">
        <v>527.86</v>
      </c>
      <c r="S1120">
        <v>0.007</v>
      </c>
      <c r="T1120" t="s">
        <v>25</v>
      </c>
    </row>
    <row r="1121" spans="1:20" ht="15">
      <c r="A1121" t="s">
        <v>19</v>
      </c>
      <c r="B1121" t="s">
        <v>20</v>
      </c>
      <c r="C1121" t="str">
        <f t="shared" si="17"/>
        <v>31-Dec-21</v>
      </c>
      <c r="D1121" t="s">
        <v>21</v>
      </c>
      <c r="E1121" t="s">
        <v>22</v>
      </c>
      <c r="F1121" t="str">
        <f>"B02VH21"</f>
        <v>B02VH21</v>
      </c>
      <c r="G1121" t="s">
        <v>1156</v>
      </c>
      <c r="I1121" t="s">
        <v>1154</v>
      </c>
      <c r="J1121">
        <v>0.004982169</v>
      </c>
      <c r="K1121">
        <v>34580</v>
      </c>
      <c r="L1121">
        <v>4098573.69</v>
      </c>
      <c r="M1121">
        <v>23999.11</v>
      </c>
      <c r="N1121">
        <v>79.04</v>
      </c>
      <c r="O1121">
        <v>2733203.2</v>
      </c>
      <c r="P1121">
        <v>13617.28</v>
      </c>
      <c r="Q1121">
        <v>0</v>
      </c>
      <c r="R1121">
        <v>0</v>
      </c>
      <c r="S1121">
        <v>0.007</v>
      </c>
      <c r="T1121" t="s">
        <v>25</v>
      </c>
    </row>
    <row r="1122" spans="1:20" ht="15">
      <c r="A1122" t="s">
        <v>19</v>
      </c>
      <c r="B1122" t="s">
        <v>20</v>
      </c>
      <c r="C1122" t="str">
        <f t="shared" si="17"/>
        <v>31-Dec-21</v>
      </c>
      <c r="D1122" t="s">
        <v>21</v>
      </c>
      <c r="E1122" t="s">
        <v>39</v>
      </c>
      <c r="I1122" t="s">
        <v>1154</v>
      </c>
      <c r="J1122">
        <v>0.004982169</v>
      </c>
      <c r="K1122">
        <v>0</v>
      </c>
      <c r="L1122">
        <v>62581.21</v>
      </c>
      <c r="M1122">
        <v>312.58</v>
      </c>
      <c r="N1122">
        <v>0</v>
      </c>
      <c r="O1122">
        <v>62581.21</v>
      </c>
      <c r="P1122">
        <v>311.79</v>
      </c>
      <c r="Q1122">
        <v>0</v>
      </c>
      <c r="R1122">
        <v>0</v>
      </c>
      <c r="S1122">
        <v>0</v>
      </c>
      <c r="T1122" t="s">
        <v>1157</v>
      </c>
    </row>
    <row r="1123" spans="1:20" ht="15">
      <c r="A1123" t="s">
        <v>19</v>
      </c>
      <c r="B1123" t="s">
        <v>20</v>
      </c>
      <c r="C1123" t="str">
        <f t="shared" si="17"/>
        <v>31-Dec-21</v>
      </c>
      <c r="D1123" t="s">
        <v>21</v>
      </c>
      <c r="E1123" t="s">
        <v>39</v>
      </c>
      <c r="I1123" t="s">
        <v>1158</v>
      </c>
      <c r="J1123">
        <v>0.218180031</v>
      </c>
      <c r="K1123">
        <v>0</v>
      </c>
      <c r="L1123">
        <v>11560.25</v>
      </c>
      <c r="M1123">
        <v>2688.73</v>
      </c>
      <c r="N1123">
        <v>0</v>
      </c>
      <c r="O1123">
        <v>11560.25</v>
      </c>
      <c r="P1123">
        <v>2522.22</v>
      </c>
      <c r="Q1123">
        <v>0</v>
      </c>
      <c r="R1123">
        <v>0</v>
      </c>
      <c r="S1123">
        <v>0.001</v>
      </c>
      <c r="T1123" t="s">
        <v>1159</v>
      </c>
    </row>
    <row r="1124" spans="1:20" ht="15">
      <c r="A1124" t="s">
        <v>19</v>
      </c>
      <c r="B1124" t="s">
        <v>20</v>
      </c>
      <c r="C1124" t="str">
        <f t="shared" si="17"/>
        <v>31-Dec-21</v>
      </c>
      <c r="D1124" t="s">
        <v>21</v>
      </c>
      <c r="E1124" t="s">
        <v>22</v>
      </c>
      <c r="F1124" t="str">
        <f>"B0YTG26"</f>
        <v>B0YTG26</v>
      </c>
      <c r="G1124" t="s">
        <v>1160</v>
      </c>
      <c r="I1124" t="s">
        <v>1161</v>
      </c>
      <c r="J1124">
        <v>0.241514089</v>
      </c>
      <c r="K1124">
        <v>64024</v>
      </c>
      <c r="L1124">
        <v>222687.72</v>
      </c>
      <c r="M1124">
        <v>55000.19</v>
      </c>
      <c r="N1124">
        <v>3.06</v>
      </c>
      <c r="O1124">
        <v>195913.44</v>
      </c>
      <c r="P1124">
        <v>47315.86</v>
      </c>
      <c r="Q1124">
        <v>0</v>
      </c>
      <c r="R1124">
        <v>0</v>
      </c>
      <c r="S1124">
        <v>0.023</v>
      </c>
      <c r="T1124" t="s">
        <v>25</v>
      </c>
    </row>
    <row r="1125" spans="1:20" ht="15">
      <c r="A1125" t="s">
        <v>19</v>
      </c>
      <c r="B1125" t="s">
        <v>20</v>
      </c>
      <c r="C1125" t="str">
        <f t="shared" si="17"/>
        <v>31-Dec-21</v>
      </c>
      <c r="D1125" t="s">
        <v>21</v>
      </c>
      <c r="E1125" t="s">
        <v>22</v>
      </c>
      <c r="F1125" t="str">
        <f>"6150448"</f>
        <v>6150448</v>
      </c>
      <c r="G1125" t="s">
        <v>1162</v>
      </c>
      <c r="I1125" t="s">
        <v>1161</v>
      </c>
      <c r="J1125">
        <v>0.241514089</v>
      </c>
      <c r="K1125">
        <v>70823</v>
      </c>
      <c r="L1125">
        <v>231505.43</v>
      </c>
      <c r="M1125">
        <v>56934.34</v>
      </c>
      <c r="N1125">
        <v>6.749</v>
      </c>
      <c r="O1125">
        <v>477984.43</v>
      </c>
      <c r="P1125">
        <v>115439.97</v>
      </c>
      <c r="Q1125">
        <v>0</v>
      </c>
      <c r="R1125">
        <v>0</v>
      </c>
      <c r="S1125">
        <v>0.057</v>
      </c>
      <c r="T1125" t="s">
        <v>25</v>
      </c>
    </row>
    <row r="1126" spans="1:20" ht="15">
      <c r="A1126" t="s">
        <v>19</v>
      </c>
      <c r="B1126" t="s">
        <v>20</v>
      </c>
      <c r="C1126" t="str">
        <f t="shared" si="17"/>
        <v>31-Dec-21</v>
      </c>
      <c r="D1126" t="s">
        <v>21</v>
      </c>
      <c r="E1126" t="s">
        <v>22</v>
      </c>
      <c r="F1126" t="str">
        <f>"6273420"</f>
        <v>6273420</v>
      </c>
      <c r="G1126" t="s">
        <v>1163</v>
      </c>
      <c r="I1126" t="s">
        <v>1161</v>
      </c>
      <c r="J1126">
        <v>0.241514089</v>
      </c>
      <c r="K1126">
        <v>68790</v>
      </c>
      <c r="L1126">
        <v>246582.54</v>
      </c>
      <c r="M1126">
        <v>63159.37</v>
      </c>
      <c r="N1126">
        <v>3.2</v>
      </c>
      <c r="O1126">
        <v>220128</v>
      </c>
      <c r="P1126">
        <v>53164.01</v>
      </c>
      <c r="Q1126">
        <v>0</v>
      </c>
      <c r="R1126">
        <v>0</v>
      </c>
      <c r="S1126">
        <v>0.026</v>
      </c>
      <c r="T1126" t="s">
        <v>25</v>
      </c>
    </row>
    <row r="1127" spans="1:20" ht="15">
      <c r="A1127" t="s">
        <v>19</v>
      </c>
      <c r="B1127" t="s">
        <v>20</v>
      </c>
      <c r="C1127" t="str">
        <f t="shared" si="17"/>
        <v>31-Dec-21</v>
      </c>
      <c r="D1127" t="s">
        <v>21</v>
      </c>
      <c r="E1127" t="s">
        <v>22</v>
      </c>
      <c r="F1127" t="str">
        <f>"B2PWTM9"</f>
        <v>B2PWTM9</v>
      </c>
      <c r="G1127" t="s">
        <v>1164</v>
      </c>
      <c r="I1127" t="s">
        <v>1161</v>
      </c>
      <c r="J1127">
        <v>0.241514089</v>
      </c>
      <c r="K1127">
        <v>23401</v>
      </c>
      <c r="L1127">
        <v>29777.17</v>
      </c>
      <c r="M1127">
        <v>7011.4</v>
      </c>
      <c r="N1127">
        <v>1.341</v>
      </c>
      <c r="O1127">
        <v>31380.74</v>
      </c>
      <c r="P1127">
        <v>7578.89</v>
      </c>
      <c r="Q1127">
        <v>0</v>
      </c>
      <c r="R1127">
        <v>0</v>
      </c>
      <c r="S1127">
        <v>0.004</v>
      </c>
      <c r="T1127" t="s">
        <v>25</v>
      </c>
    </row>
    <row r="1128" spans="1:20" ht="15">
      <c r="A1128" t="s">
        <v>19</v>
      </c>
      <c r="B1128" t="s">
        <v>20</v>
      </c>
      <c r="C1128" t="str">
        <f t="shared" si="17"/>
        <v>31-Dec-21</v>
      </c>
      <c r="D1128" t="s">
        <v>21</v>
      </c>
      <c r="E1128" t="s">
        <v>22</v>
      </c>
      <c r="F1128" t="str">
        <f>"6673570"</f>
        <v>6673570</v>
      </c>
      <c r="G1128" t="s">
        <v>1165</v>
      </c>
      <c r="I1128" t="s">
        <v>1161</v>
      </c>
      <c r="J1128">
        <v>0.241514089</v>
      </c>
      <c r="K1128">
        <v>53003</v>
      </c>
      <c r="L1128">
        <v>590227.2</v>
      </c>
      <c r="M1128">
        <v>143920.32</v>
      </c>
      <c r="N1128">
        <v>15.49</v>
      </c>
      <c r="O1128">
        <v>821016.47</v>
      </c>
      <c r="P1128">
        <v>198287.04</v>
      </c>
      <c r="Q1128">
        <v>0</v>
      </c>
      <c r="R1128">
        <v>0</v>
      </c>
      <c r="S1128">
        <v>0.098</v>
      </c>
      <c r="T1128" t="s">
        <v>25</v>
      </c>
    </row>
    <row r="1129" spans="1:20" ht="15">
      <c r="A1129" t="s">
        <v>19</v>
      </c>
      <c r="B1129" t="s">
        <v>20</v>
      </c>
      <c r="C1129" t="str">
        <f t="shared" si="17"/>
        <v>31-Dec-21</v>
      </c>
      <c r="D1129" t="s">
        <v>21</v>
      </c>
      <c r="E1129" t="s">
        <v>22</v>
      </c>
      <c r="F1129" t="str">
        <f>"B0VR7W0"</f>
        <v>B0VR7W0</v>
      </c>
      <c r="G1129" t="s">
        <v>1166</v>
      </c>
      <c r="I1129" t="s">
        <v>1161</v>
      </c>
      <c r="J1129">
        <v>0.241514089</v>
      </c>
      <c r="K1129">
        <v>116910</v>
      </c>
      <c r="L1129">
        <v>452665.91</v>
      </c>
      <c r="M1129">
        <v>113223.44</v>
      </c>
      <c r="N1129">
        <v>4.64</v>
      </c>
      <c r="O1129">
        <v>542462.4</v>
      </c>
      <c r="P1129">
        <v>131012.31</v>
      </c>
      <c r="Q1129">
        <v>0</v>
      </c>
      <c r="R1129">
        <v>0</v>
      </c>
      <c r="S1129">
        <v>0.065</v>
      </c>
      <c r="T1129" t="s">
        <v>25</v>
      </c>
    </row>
    <row r="1130" spans="1:20" ht="15">
      <c r="A1130" t="s">
        <v>19</v>
      </c>
      <c r="B1130" t="s">
        <v>20</v>
      </c>
      <c r="C1130" t="str">
        <f t="shared" si="17"/>
        <v>31-Dec-21</v>
      </c>
      <c r="D1130" t="s">
        <v>21</v>
      </c>
      <c r="E1130" t="s">
        <v>22</v>
      </c>
      <c r="F1130" t="str">
        <f>"BK4Z0B1"</f>
        <v>BK4Z0B1</v>
      </c>
      <c r="G1130" t="s">
        <v>1167</v>
      </c>
      <c r="I1130" t="s">
        <v>1161</v>
      </c>
      <c r="J1130">
        <v>0.241514089</v>
      </c>
      <c r="K1130">
        <v>147435</v>
      </c>
      <c r="L1130">
        <v>382364.16</v>
      </c>
      <c r="M1130">
        <v>93242.38</v>
      </c>
      <c r="N1130">
        <v>2.09</v>
      </c>
      <c r="O1130">
        <v>308139.15</v>
      </c>
      <c r="P1130">
        <v>74419.95</v>
      </c>
      <c r="Q1130">
        <v>0</v>
      </c>
      <c r="R1130">
        <v>0</v>
      </c>
      <c r="S1130">
        <v>0.037</v>
      </c>
      <c r="T1130" t="s">
        <v>25</v>
      </c>
    </row>
    <row r="1131" spans="1:20" ht="15">
      <c r="A1131" t="s">
        <v>19</v>
      </c>
      <c r="B1131" t="s">
        <v>20</v>
      </c>
      <c r="C1131" t="str">
        <f t="shared" si="17"/>
        <v>31-Dec-21</v>
      </c>
      <c r="D1131" t="s">
        <v>21</v>
      </c>
      <c r="E1131" t="s">
        <v>22</v>
      </c>
      <c r="F1131" t="str">
        <f>"6158174"</f>
        <v>6158174</v>
      </c>
      <c r="G1131" t="s">
        <v>1168</v>
      </c>
      <c r="I1131" t="s">
        <v>1161</v>
      </c>
      <c r="J1131">
        <v>0.241514089</v>
      </c>
      <c r="K1131">
        <v>24360</v>
      </c>
      <c r="L1131">
        <v>230688.56</v>
      </c>
      <c r="M1131">
        <v>57768.27</v>
      </c>
      <c r="N1131">
        <v>7.02</v>
      </c>
      <c r="O1131">
        <v>171007.2</v>
      </c>
      <c r="P1131">
        <v>41300.65</v>
      </c>
      <c r="Q1131">
        <v>0</v>
      </c>
      <c r="R1131">
        <v>0</v>
      </c>
      <c r="S1131">
        <v>0.02</v>
      </c>
      <c r="T1131" t="s">
        <v>25</v>
      </c>
    </row>
    <row r="1132" spans="1:20" ht="15">
      <c r="A1132" t="s">
        <v>19</v>
      </c>
      <c r="B1132" t="s">
        <v>20</v>
      </c>
      <c r="C1132" t="str">
        <f t="shared" si="17"/>
        <v>31-Dec-21</v>
      </c>
      <c r="D1132" t="s">
        <v>21</v>
      </c>
      <c r="E1132" t="s">
        <v>22</v>
      </c>
      <c r="F1132" t="str">
        <f>"BH4NZS6"</f>
        <v>BH4NZS6</v>
      </c>
      <c r="G1132" t="s">
        <v>1169</v>
      </c>
      <c r="I1132" t="s">
        <v>1161</v>
      </c>
      <c r="J1132">
        <v>0.241514089</v>
      </c>
      <c r="K1132">
        <v>96075</v>
      </c>
      <c r="L1132">
        <v>127546.75</v>
      </c>
      <c r="M1132">
        <v>30700.98</v>
      </c>
      <c r="N1132">
        <v>1.801</v>
      </c>
      <c r="O1132">
        <v>173031.08</v>
      </c>
      <c r="P1132">
        <v>41789.44</v>
      </c>
      <c r="Q1132">
        <v>0</v>
      </c>
      <c r="R1132">
        <v>0</v>
      </c>
      <c r="S1132">
        <v>0.021</v>
      </c>
      <c r="T1132" t="s">
        <v>25</v>
      </c>
    </row>
    <row r="1133" spans="1:20" ht="15">
      <c r="A1133" t="s">
        <v>19</v>
      </c>
      <c r="B1133" t="s">
        <v>20</v>
      </c>
      <c r="C1133" t="str">
        <f t="shared" si="17"/>
        <v>31-Dec-21</v>
      </c>
      <c r="D1133" t="s">
        <v>21</v>
      </c>
      <c r="E1133" t="s">
        <v>22</v>
      </c>
      <c r="F1133" t="str">
        <f>"6566614"</f>
        <v>6566614</v>
      </c>
      <c r="G1133" t="s">
        <v>1170</v>
      </c>
      <c r="I1133" t="s">
        <v>1161</v>
      </c>
      <c r="J1133">
        <v>0.241514089</v>
      </c>
      <c r="K1133">
        <v>10713</v>
      </c>
      <c r="L1133">
        <v>206326.83</v>
      </c>
      <c r="M1133">
        <v>49033.57</v>
      </c>
      <c r="N1133">
        <v>16.6</v>
      </c>
      <c r="O1133">
        <v>177835.8</v>
      </c>
      <c r="P1133">
        <v>42949.85</v>
      </c>
      <c r="Q1133">
        <v>0</v>
      </c>
      <c r="R1133">
        <v>0</v>
      </c>
      <c r="S1133">
        <v>0.021</v>
      </c>
      <c r="T1133" t="s">
        <v>25</v>
      </c>
    </row>
    <row r="1134" spans="1:20" ht="15">
      <c r="A1134" t="s">
        <v>19</v>
      </c>
      <c r="B1134" t="s">
        <v>20</v>
      </c>
      <c r="C1134" t="str">
        <f t="shared" si="17"/>
        <v>31-Dec-21</v>
      </c>
      <c r="D1134" t="s">
        <v>21</v>
      </c>
      <c r="E1134" t="s">
        <v>22</v>
      </c>
      <c r="F1134" t="str">
        <f>"6516556"</f>
        <v>6516556</v>
      </c>
      <c r="G1134" t="s">
        <v>1171</v>
      </c>
      <c r="I1134" t="s">
        <v>1161</v>
      </c>
      <c r="J1134">
        <v>0.241514089</v>
      </c>
      <c r="K1134">
        <v>17667</v>
      </c>
      <c r="L1134">
        <v>354178.84</v>
      </c>
      <c r="M1134">
        <v>86804.37</v>
      </c>
      <c r="N1134">
        <v>18.28</v>
      </c>
      <c r="O1134">
        <v>322952.76</v>
      </c>
      <c r="P1134">
        <v>77997.64</v>
      </c>
      <c r="Q1134">
        <v>0</v>
      </c>
      <c r="R1134">
        <v>0</v>
      </c>
      <c r="S1134">
        <v>0.039</v>
      </c>
      <c r="T1134" t="s">
        <v>25</v>
      </c>
    </row>
    <row r="1135" spans="1:20" ht="15">
      <c r="A1135" t="s">
        <v>19</v>
      </c>
      <c r="B1135" t="s">
        <v>20</v>
      </c>
      <c r="C1135" t="str">
        <f t="shared" si="17"/>
        <v>31-Dec-21</v>
      </c>
      <c r="D1135" t="s">
        <v>21</v>
      </c>
      <c r="E1135" t="s">
        <v>22</v>
      </c>
      <c r="F1135" t="str">
        <f>"B0MLBC9"</f>
        <v>B0MLBC9</v>
      </c>
      <c r="G1135" t="s">
        <v>1172</v>
      </c>
      <c r="I1135" t="s">
        <v>1161</v>
      </c>
      <c r="J1135">
        <v>0.241514089</v>
      </c>
      <c r="K1135">
        <v>92700</v>
      </c>
      <c r="L1135">
        <v>198468.61</v>
      </c>
      <c r="M1135">
        <v>47972.87</v>
      </c>
      <c r="N1135">
        <v>3.3</v>
      </c>
      <c r="O1135">
        <v>305910</v>
      </c>
      <c r="P1135">
        <v>73881.57</v>
      </c>
      <c r="Q1135">
        <v>0</v>
      </c>
      <c r="R1135">
        <v>0</v>
      </c>
      <c r="S1135">
        <v>0.037</v>
      </c>
      <c r="T1135" t="s">
        <v>25</v>
      </c>
    </row>
    <row r="1136" spans="1:20" ht="15">
      <c r="A1136" t="s">
        <v>19</v>
      </c>
      <c r="B1136" t="s">
        <v>20</v>
      </c>
      <c r="C1136" t="str">
        <f t="shared" si="17"/>
        <v>31-Dec-21</v>
      </c>
      <c r="D1136" t="s">
        <v>21</v>
      </c>
      <c r="E1136" t="s">
        <v>22</v>
      </c>
      <c r="F1136" t="str">
        <f>"6148045"</f>
        <v>6148045</v>
      </c>
      <c r="G1136" t="s">
        <v>1173</v>
      </c>
      <c r="I1136" t="s">
        <v>1161</v>
      </c>
      <c r="J1136">
        <v>0.241514089</v>
      </c>
      <c r="K1136">
        <v>57408</v>
      </c>
      <c r="L1136">
        <v>161562.28</v>
      </c>
      <c r="M1136">
        <v>39305.5</v>
      </c>
      <c r="N1136">
        <v>2.75</v>
      </c>
      <c r="O1136">
        <v>157872</v>
      </c>
      <c r="P1136">
        <v>38128.31</v>
      </c>
      <c r="Q1136">
        <v>0</v>
      </c>
      <c r="R1136">
        <v>0</v>
      </c>
      <c r="S1136">
        <v>0.019</v>
      </c>
      <c r="T1136" t="s">
        <v>25</v>
      </c>
    </row>
    <row r="1137" spans="1:20" ht="15">
      <c r="A1137" t="s">
        <v>19</v>
      </c>
      <c r="B1137" t="s">
        <v>20</v>
      </c>
      <c r="C1137" t="str">
        <f t="shared" si="17"/>
        <v>31-Dec-21</v>
      </c>
      <c r="D1137" t="s">
        <v>21</v>
      </c>
      <c r="E1137" t="s">
        <v>22</v>
      </c>
      <c r="F1137" t="str">
        <f>"6571544"</f>
        <v>6571544</v>
      </c>
      <c r="G1137" t="s">
        <v>1174</v>
      </c>
      <c r="I1137" t="s">
        <v>1161</v>
      </c>
      <c r="J1137">
        <v>0.241514089</v>
      </c>
      <c r="K1137">
        <v>26703</v>
      </c>
      <c r="L1137">
        <v>207107.84</v>
      </c>
      <c r="M1137">
        <v>49778.49</v>
      </c>
      <c r="N1137">
        <v>9.21</v>
      </c>
      <c r="O1137">
        <v>245934.63</v>
      </c>
      <c r="P1137">
        <v>59396.68</v>
      </c>
      <c r="Q1137">
        <v>0</v>
      </c>
      <c r="R1137">
        <v>0</v>
      </c>
      <c r="S1137">
        <v>0.029</v>
      </c>
      <c r="T1137" t="s">
        <v>25</v>
      </c>
    </row>
    <row r="1138" spans="1:20" ht="15">
      <c r="A1138" t="s">
        <v>19</v>
      </c>
      <c r="B1138" t="s">
        <v>20</v>
      </c>
      <c r="C1138" t="str">
        <f t="shared" si="17"/>
        <v>31-Dec-21</v>
      </c>
      <c r="D1138" t="s">
        <v>21</v>
      </c>
      <c r="E1138" t="s">
        <v>22</v>
      </c>
      <c r="F1138" t="str">
        <f>"6713982"</f>
        <v>6713982</v>
      </c>
      <c r="G1138" t="s">
        <v>1175</v>
      </c>
      <c r="I1138" t="s">
        <v>1161</v>
      </c>
      <c r="J1138">
        <v>0.241514089</v>
      </c>
      <c r="K1138">
        <v>38155</v>
      </c>
      <c r="L1138">
        <v>472522.31</v>
      </c>
      <c r="M1138">
        <v>112741.43</v>
      </c>
      <c r="N1138">
        <v>18.33</v>
      </c>
      <c r="O1138">
        <v>699381.15</v>
      </c>
      <c r="P1138">
        <v>168910.4</v>
      </c>
      <c r="Q1138">
        <v>0</v>
      </c>
      <c r="R1138">
        <v>0</v>
      </c>
      <c r="S1138">
        <v>0.084</v>
      </c>
      <c r="T1138" t="s">
        <v>25</v>
      </c>
    </row>
    <row r="1139" spans="1:20" ht="15">
      <c r="A1139" t="s">
        <v>19</v>
      </c>
      <c r="B1139" t="s">
        <v>20</v>
      </c>
      <c r="C1139" t="str">
        <f t="shared" si="17"/>
        <v>31-Dec-21</v>
      </c>
      <c r="D1139" t="s">
        <v>21</v>
      </c>
      <c r="E1139" t="s">
        <v>22</v>
      </c>
      <c r="F1139" t="str">
        <f>"6148197"</f>
        <v>6148197</v>
      </c>
      <c r="G1139" t="s">
        <v>1176</v>
      </c>
      <c r="I1139" t="s">
        <v>1161</v>
      </c>
      <c r="J1139">
        <v>0.241514089</v>
      </c>
      <c r="K1139">
        <v>140982</v>
      </c>
      <c r="L1139">
        <v>2274911.55</v>
      </c>
      <c r="M1139">
        <v>553344.58</v>
      </c>
      <c r="N1139">
        <v>20.19</v>
      </c>
      <c r="O1139">
        <v>2846426.58</v>
      </c>
      <c r="P1139">
        <v>687452.12</v>
      </c>
      <c r="Q1139">
        <v>0</v>
      </c>
      <c r="R1139">
        <v>0</v>
      </c>
      <c r="S1139">
        <v>0.341</v>
      </c>
      <c r="T1139" t="s">
        <v>25</v>
      </c>
    </row>
    <row r="1140" spans="1:20" ht="15">
      <c r="A1140" t="s">
        <v>19</v>
      </c>
      <c r="B1140" t="s">
        <v>20</v>
      </c>
      <c r="C1140" t="str">
        <f t="shared" si="17"/>
        <v>31-Dec-21</v>
      </c>
      <c r="D1140" t="s">
        <v>21</v>
      </c>
      <c r="E1140" t="s">
        <v>22</v>
      </c>
      <c r="F1140" t="str">
        <f>"6651093"</f>
        <v>6651093</v>
      </c>
      <c r="G1140" t="s">
        <v>1177</v>
      </c>
      <c r="I1140" t="s">
        <v>1161</v>
      </c>
      <c r="J1140">
        <v>0.241514089</v>
      </c>
      <c r="K1140">
        <v>48359</v>
      </c>
      <c r="L1140">
        <v>94097.91</v>
      </c>
      <c r="M1140">
        <v>24069.48</v>
      </c>
      <c r="N1140">
        <v>1.54</v>
      </c>
      <c r="O1140">
        <v>74472.86</v>
      </c>
      <c r="P1140">
        <v>17986.24</v>
      </c>
      <c r="Q1140">
        <v>0</v>
      </c>
      <c r="R1140">
        <v>0</v>
      </c>
      <c r="S1140">
        <v>0.009</v>
      </c>
      <c r="T1140" t="s">
        <v>25</v>
      </c>
    </row>
    <row r="1141" spans="1:20" ht="15">
      <c r="A1141" t="s">
        <v>19</v>
      </c>
      <c r="B1141" t="s">
        <v>20</v>
      </c>
      <c r="C1141" t="str">
        <f t="shared" si="17"/>
        <v>31-Dec-21</v>
      </c>
      <c r="D1141" t="s">
        <v>21</v>
      </c>
      <c r="E1141" t="s">
        <v>22</v>
      </c>
      <c r="F1141" t="str">
        <f>"B3WYBN0"</f>
        <v>B3WYBN0</v>
      </c>
      <c r="G1141" t="s">
        <v>1178</v>
      </c>
      <c r="I1141" t="s">
        <v>1161</v>
      </c>
      <c r="J1141">
        <v>0.241514089</v>
      </c>
      <c r="K1141">
        <v>46593</v>
      </c>
      <c r="L1141">
        <v>84025.54</v>
      </c>
      <c r="M1141">
        <v>21493.05</v>
      </c>
      <c r="N1141">
        <v>1.667</v>
      </c>
      <c r="O1141">
        <v>77670.53</v>
      </c>
      <c r="P1141">
        <v>18758.53</v>
      </c>
      <c r="Q1141">
        <v>0</v>
      </c>
      <c r="R1141">
        <v>0</v>
      </c>
      <c r="S1141">
        <v>0.009</v>
      </c>
      <c r="T1141" t="s">
        <v>25</v>
      </c>
    </row>
    <row r="1142" spans="1:20" ht="15">
      <c r="A1142" t="s">
        <v>19</v>
      </c>
      <c r="B1142" t="s">
        <v>20</v>
      </c>
      <c r="C1142" t="str">
        <f t="shared" si="17"/>
        <v>31-Dec-21</v>
      </c>
      <c r="D1142" t="s">
        <v>21</v>
      </c>
      <c r="E1142" t="s">
        <v>39</v>
      </c>
      <c r="I1142" t="s">
        <v>1161</v>
      </c>
      <c r="J1142">
        <v>0.241514089</v>
      </c>
      <c r="K1142">
        <v>0</v>
      </c>
      <c r="L1142">
        <v>65644.49</v>
      </c>
      <c r="M1142">
        <v>15711.61</v>
      </c>
      <c r="N1142">
        <v>0</v>
      </c>
      <c r="O1142">
        <v>65644.49</v>
      </c>
      <c r="P1142">
        <v>15854.07</v>
      </c>
      <c r="Q1142">
        <v>0</v>
      </c>
      <c r="R1142">
        <v>0</v>
      </c>
      <c r="S1142">
        <v>0.008</v>
      </c>
      <c r="T1142" t="s">
        <v>1179</v>
      </c>
    </row>
    <row r="1143" spans="1:20" ht="15">
      <c r="A1143" t="s">
        <v>19</v>
      </c>
      <c r="B1143" t="s">
        <v>20</v>
      </c>
      <c r="C1143" t="str">
        <f t="shared" si="17"/>
        <v>31-Dec-21</v>
      </c>
      <c r="D1143" t="s">
        <v>21</v>
      </c>
      <c r="E1143" t="s">
        <v>22</v>
      </c>
      <c r="F1143" t="str">
        <f>"5393307"</f>
        <v>5393307</v>
      </c>
      <c r="G1143" t="s">
        <v>1180</v>
      </c>
      <c r="I1143" t="s">
        <v>1181</v>
      </c>
      <c r="J1143">
        <v>0.202071098</v>
      </c>
      <c r="K1143">
        <v>191297</v>
      </c>
      <c r="L1143">
        <v>391841.46</v>
      </c>
      <c r="M1143">
        <v>80658.44</v>
      </c>
      <c r="N1143">
        <v>2.58</v>
      </c>
      <c r="O1143">
        <v>493546.26</v>
      </c>
      <c r="P1143">
        <v>99731.43</v>
      </c>
      <c r="Q1143">
        <v>0</v>
      </c>
      <c r="R1143">
        <v>0</v>
      </c>
      <c r="S1143">
        <v>0.049</v>
      </c>
      <c r="T1143" t="s">
        <v>25</v>
      </c>
    </row>
    <row r="1144" spans="1:20" ht="15">
      <c r="A1144" t="s">
        <v>19</v>
      </c>
      <c r="B1144" t="s">
        <v>20</v>
      </c>
      <c r="C1144" t="str">
        <f t="shared" si="17"/>
        <v>31-Dec-21</v>
      </c>
      <c r="D1144" t="s">
        <v>21</v>
      </c>
      <c r="E1144" t="s">
        <v>39</v>
      </c>
      <c r="I1144" t="s">
        <v>1181</v>
      </c>
      <c r="J1144">
        <v>0.202071098</v>
      </c>
      <c r="K1144">
        <v>0</v>
      </c>
      <c r="L1144">
        <v>22920.66</v>
      </c>
      <c r="M1144">
        <v>4643.7</v>
      </c>
      <c r="N1144">
        <v>0</v>
      </c>
      <c r="O1144">
        <v>22920.66</v>
      </c>
      <c r="P1144">
        <v>4631.6</v>
      </c>
      <c r="Q1144">
        <v>0</v>
      </c>
      <c r="R1144">
        <v>0</v>
      </c>
      <c r="S1144">
        <v>0.002</v>
      </c>
      <c r="T1144" t="s">
        <v>1157</v>
      </c>
    </row>
    <row r="1145" spans="1:20" ht="15">
      <c r="A1145" t="s">
        <v>19</v>
      </c>
      <c r="B1145" t="s">
        <v>20</v>
      </c>
      <c r="C1145" t="str">
        <f t="shared" si="17"/>
        <v>31-Dec-21</v>
      </c>
      <c r="D1145" t="s">
        <v>21</v>
      </c>
      <c r="E1145" t="s">
        <v>39</v>
      </c>
      <c r="I1145" t="s">
        <v>1182</v>
      </c>
      <c r="J1145">
        <v>0.011723727</v>
      </c>
      <c r="K1145">
        <v>0</v>
      </c>
      <c r="L1145">
        <v>4721769.1</v>
      </c>
      <c r="M1145">
        <v>55356.73</v>
      </c>
      <c r="N1145">
        <v>0</v>
      </c>
      <c r="O1145">
        <v>4721769.1</v>
      </c>
      <c r="P1145">
        <v>55356.73</v>
      </c>
      <c r="Q1145">
        <v>0</v>
      </c>
      <c r="R1145">
        <v>0</v>
      </c>
      <c r="S1145">
        <v>0.027</v>
      </c>
      <c r="T1145" t="s">
        <v>1183</v>
      </c>
    </row>
    <row r="1146" spans="1:20" ht="15">
      <c r="A1146" t="s">
        <v>19</v>
      </c>
      <c r="B1146" t="s">
        <v>20</v>
      </c>
      <c r="C1146" t="str">
        <f t="shared" si="17"/>
        <v>31-Dec-21</v>
      </c>
      <c r="D1146" t="s">
        <v>21</v>
      </c>
      <c r="E1146" t="s">
        <v>22</v>
      </c>
      <c r="F1146" t="str">
        <f>"B3BQB93"</f>
        <v>B3BQB93</v>
      </c>
      <c r="G1146" t="s">
        <v>1184</v>
      </c>
      <c r="I1146" t="s">
        <v>1185</v>
      </c>
      <c r="J1146">
        <v>0.234219262</v>
      </c>
      <c r="K1146">
        <v>1271</v>
      </c>
      <c r="L1146">
        <v>111797.26</v>
      </c>
      <c r="M1146">
        <v>26692.52</v>
      </c>
      <c r="N1146">
        <v>108.2</v>
      </c>
      <c r="O1146">
        <v>137522.2</v>
      </c>
      <c r="P1146">
        <v>32210.35</v>
      </c>
      <c r="Q1146">
        <v>0</v>
      </c>
      <c r="R1146">
        <v>0</v>
      </c>
      <c r="S1146">
        <v>0.016</v>
      </c>
      <c r="T1146" t="s">
        <v>25</v>
      </c>
    </row>
    <row r="1147" spans="1:20" ht="15">
      <c r="A1147" t="s">
        <v>19</v>
      </c>
      <c r="B1147" t="s">
        <v>20</v>
      </c>
      <c r="C1147" t="str">
        <f t="shared" si="17"/>
        <v>31-Dec-21</v>
      </c>
      <c r="D1147" t="s">
        <v>21</v>
      </c>
      <c r="E1147" t="s">
        <v>22</v>
      </c>
      <c r="F1147" t="str">
        <f>"B1P6WF8"</f>
        <v>B1P6WF8</v>
      </c>
      <c r="G1147" t="s">
        <v>1186</v>
      </c>
      <c r="I1147" t="s">
        <v>1185</v>
      </c>
      <c r="J1147">
        <v>0.234219262</v>
      </c>
      <c r="K1147">
        <v>3820</v>
      </c>
      <c r="L1147">
        <v>199463.16</v>
      </c>
      <c r="M1147">
        <v>47448.43</v>
      </c>
      <c r="N1147">
        <v>70.4</v>
      </c>
      <c r="O1147">
        <v>268928</v>
      </c>
      <c r="P1147">
        <v>62988.12</v>
      </c>
      <c r="Q1147">
        <v>0</v>
      </c>
      <c r="R1147">
        <v>0</v>
      </c>
      <c r="S1147">
        <v>0.031</v>
      </c>
      <c r="T1147" t="s">
        <v>25</v>
      </c>
    </row>
    <row r="1148" spans="1:20" ht="15">
      <c r="A1148" t="s">
        <v>19</v>
      </c>
      <c r="B1148" t="s">
        <v>20</v>
      </c>
      <c r="C1148" t="str">
        <f t="shared" si="17"/>
        <v>31-Dec-21</v>
      </c>
      <c r="D1148" t="s">
        <v>21</v>
      </c>
      <c r="E1148" t="s">
        <v>22</v>
      </c>
      <c r="F1148" t="str">
        <f>"B12LZH9"</f>
        <v>B12LZH9</v>
      </c>
      <c r="G1148" t="s">
        <v>1187</v>
      </c>
      <c r="I1148" t="s">
        <v>1185</v>
      </c>
      <c r="J1148">
        <v>0.234219262</v>
      </c>
      <c r="K1148">
        <v>39489</v>
      </c>
      <c r="L1148">
        <v>2579237.12</v>
      </c>
      <c r="M1148">
        <v>613504.64</v>
      </c>
      <c r="N1148">
        <v>141.8</v>
      </c>
      <c r="O1148">
        <v>5599540.2</v>
      </c>
      <c r="P1148">
        <v>1311520.17</v>
      </c>
      <c r="Q1148">
        <v>0</v>
      </c>
      <c r="R1148">
        <v>0</v>
      </c>
      <c r="S1148">
        <v>0.65</v>
      </c>
      <c r="T1148" t="s">
        <v>25</v>
      </c>
    </row>
    <row r="1149" spans="1:20" ht="15">
      <c r="A1149" t="s">
        <v>19</v>
      </c>
      <c r="B1149" t="s">
        <v>20</v>
      </c>
      <c r="C1149" t="str">
        <f t="shared" si="17"/>
        <v>31-Dec-21</v>
      </c>
      <c r="D1149" t="s">
        <v>21</v>
      </c>
      <c r="E1149" t="s">
        <v>22</v>
      </c>
      <c r="F1149" t="str">
        <f>"B39NWT3"</f>
        <v>B39NWT3</v>
      </c>
      <c r="G1149" t="s">
        <v>1188</v>
      </c>
      <c r="I1149" t="s">
        <v>1185</v>
      </c>
      <c r="J1149">
        <v>0.234219262</v>
      </c>
      <c r="K1149">
        <v>34410</v>
      </c>
      <c r="L1149">
        <v>580958.5</v>
      </c>
      <c r="M1149">
        <v>138328.06</v>
      </c>
      <c r="N1149">
        <v>23.96</v>
      </c>
      <c r="O1149">
        <v>824463.6</v>
      </c>
      <c r="P1149">
        <v>193105.26</v>
      </c>
      <c r="Q1149">
        <v>0</v>
      </c>
      <c r="R1149">
        <v>0</v>
      </c>
      <c r="S1149">
        <v>0.096</v>
      </c>
      <c r="T1149" t="s">
        <v>25</v>
      </c>
    </row>
    <row r="1150" spans="1:20" ht="15">
      <c r="A1150" t="s">
        <v>19</v>
      </c>
      <c r="B1150" t="s">
        <v>20</v>
      </c>
      <c r="C1150" t="str">
        <f t="shared" si="17"/>
        <v>31-Dec-21</v>
      </c>
      <c r="D1150" t="s">
        <v>21</v>
      </c>
      <c r="E1150" t="s">
        <v>22</v>
      </c>
      <c r="F1150" t="str">
        <f>"B137VV2"</f>
        <v>B137VV2</v>
      </c>
      <c r="G1150" t="s">
        <v>1189</v>
      </c>
      <c r="I1150" t="s">
        <v>1185</v>
      </c>
      <c r="J1150">
        <v>0.234219262</v>
      </c>
      <c r="K1150">
        <v>8609</v>
      </c>
      <c r="L1150">
        <v>480307.23</v>
      </c>
      <c r="M1150">
        <v>114310.79</v>
      </c>
      <c r="N1150">
        <v>48.75</v>
      </c>
      <c r="O1150">
        <v>419688.75</v>
      </c>
      <c r="P1150">
        <v>98299.19</v>
      </c>
      <c r="Q1150">
        <v>0</v>
      </c>
      <c r="R1150">
        <v>0</v>
      </c>
      <c r="S1150">
        <v>0.049</v>
      </c>
      <c r="T1150" t="s">
        <v>25</v>
      </c>
    </row>
    <row r="1151" spans="1:20" ht="15">
      <c r="A1151" t="s">
        <v>19</v>
      </c>
      <c r="B1151" t="s">
        <v>20</v>
      </c>
      <c r="C1151" t="str">
        <f t="shared" si="17"/>
        <v>31-Dec-21</v>
      </c>
      <c r="D1151" t="s">
        <v>21</v>
      </c>
      <c r="E1151" t="s">
        <v>22</v>
      </c>
      <c r="F1151" t="str">
        <f>"B12LZK2"</f>
        <v>B12LZK2</v>
      </c>
      <c r="G1151" t="s">
        <v>1190</v>
      </c>
      <c r="I1151" t="s">
        <v>1185</v>
      </c>
      <c r="J1151">
        <v>0.234219262</v>
      </c>
      <c r="K1151">
        <v>19435</v>
      </c>
      <c r="L1151">
        <v>417703.1</v>
      </c>
      <c r="M1151">
        <v>101726.23</v>
      </c>
      <c r="N1151">
        <v>22.86</v>
      </c>
      <c r="O1151">
        <v>444284.1</v>
      </c>
      <c r="P1151">
        <v>104059.89</v>
      </c>
      <c r="Q1151">
        <v>0</v>
      </c>
      <c r="R1151">
        <v>0</v>
      </c>
      <c r="S1151">
        <v>0.052</v>
      </c>
      <c r="T1151" t="s">
        <v>25</v>
      </c>
    </row>
    <row r="1152" spans="1:20" ht="15">
      <c r="A1152" t="s">
        <v>19</v>
      </c>
      <c r="B1152" t="s">
        <v>20</v>
      </c>
      <c r="C1152" t="str">
        <f t="shared" si="17"/>
        <v>31-Dec-21</v>
      </c>
      <c r="D1152" t="s">
        <v>21</v>
      </c>
      <c r="E1152" t="s">
        <v>22</v>
      </c>
      <c r="F1152" t="str">
        <f>"BKBF694"</f>
        <v>BKBF694</v>
      </c>
      <c r="G1152" t="s">
        <v>1191</v>
      </c>
      <c r="I1152" t="s">
        <v>1185</v>
      </c>
      <c r="J1152">
        <v>0.234219262</v>
      </c>
      <c r="K1152">
        <v>4450</v>
      </c>
      <c r="L1152">
        <v>108116.08</v>
      </c>
      <c r="M1152">
        <v>26470.35</v>
      </c>
      <c r="N1152">
        <v>22.58</v>
      </c>
      <c r="O1152">
        <v>100481</v>
      </c>
      <c r="P1152">
        <v>23534.59</v>
      </c>
      <c r="Q1152">
        <v>0</v>
      </c>
      <c r="R1152">
        <v>0</v>
      </c>
      <c r="S1152">
        <v>0.012</v>
      </c>
      <c r="T1152" t="s">
        <v>25</v>
      </c>
    </row>
    <row r="1153" spans="1:20" ht="15">
      <c r="A1153" t="s">
        <v>19</v>
      </c>
      <c r="B1153" t="s">
        <v>20</v>
      </c>
      <c r="C1153" t="str">
        <f t="shared" si="17"/>
        <v>31-Dec-21</v>
      </c>
      <c r="D1153" t="s">
        <v>21</v>
      </c>
      <c r="E1153" t="s">
        <v>22</v>
      </c>
      <c r="F1153" t="str">
        <f>"B12LZT1"</f>
        <v>B12LZT1</v>
      </c>
      <c r="G1153" t="s">
        <v>1192</v>
      </c>
      <c r="I1153" t="s">
        <v>1185</v>
      </c>
      <c r="J1153">
        <v>0.234219262</v>
      </c>
      <c r="K1153">
        <v>20186</v>
      </c>
      <c r="L1153">
        <v>615334.07</v>
      </c>
      <c r="M1153">
        <v>150056.64</v>
      </c>
      <c r="N1153">
        <v>47.25</v>
      </c>
      <c r="O1153">
        <v>953788.5</v>
      </c>
      <c r="P1153">
        <v>223395.64</v>
      </c>
      <c r="Q1153">
        <v>0</v>
      </c>
      <c r="R1153">
        <v>0</v>
      </c>
      <c r="S1153">
        <v>0.111</v>
      </c>
      <c r="T1153" t="s">
        <v>25</v>
      </c>
    </row>
    <row r="1154" spans="1:20" ht="15">
      <c r="A1154" t="s">
        <v>19</v>
      </c>
      <c r="B1154" t="s">
        <v>20</v>
      </c>
      <c r="C1154" t="str">
        <f aca="true" t="shared" si="18" ref="C1154:C1217">"31-Dec-21"</f>
        <v>31-Dec-21</v>
      </c>
      <c r="D1154" t="s">
        <v>21</v>
      </c>
      <c r="E1154" t="s">
        <v>22</v>
      </c>
      <c r="F1154" t="str">
        <f>"B12LZQ8"</f>
        <v>B12LZQ8</v>
      </c>
      <c r="G1154" t="s">
        <v>1193</v>
      </c>
      <c r="I1154" t="s">
        <v>1185</v>
      </c>
      <c r="J1154">
        <v>0.234219262</v>
      </c>
      <c r="K1154">
        <v>14566</v>
      </c>
      <c r="L1154">
        <v>201131.29</v>
      </c>
      <c r="M1154">
        <v>47847.02</v>
      </c>
      <c r="N1154">
        <v>19.3</v>
      </c>
      <c r="O1154">
        <v>281123.8</v>
      </c>
      <c r="P1154">
        <v>65844.61</v>
      </c>
      <c r="Q1154">
        <v>0</v>
      </c>
      <c r="R1154">
        <v>0</v>
      </c>
      <c r="S1154">
        <v>0.033</v>
      </c>
      <c r="T1154" t="s">
        <v>25</v>
      </c>
    </row>
    <row r="1155" spans="1:20" ht="15">
      <c r="A1155" t="s">
        <v>19</v>
      </c>
      <c r="B1155" t="s">
        <v>20</v>
      </c>
      <c r="C1155" t="str">
        <f t="shared" si="18"/>
        <v>31-Dec-21</v>
      </c>
      <c r="D1155" t="s">
        <v>21</v>
      </c>
      <c r="E1155" t="s">
        <v>22</v>
      </c>
      <c r="F1155" t="str">
        <f>"B12LZP7"</f>
        <v>B12LZP7</v>
      </c>
      <c r="G1155" t="s">
        <v>1194</v>
      </c>
      <c r="I1155" t="s">
        <v>1185</v>
      </c>
      <c r="J1155">
        <v>0.234219262</v>
      </c>
      <c r="K1155">
        <v>13307</v>
      </c>
      <c r="L1155">
        <v>325348.21</v>
      </c>
      <c r="M1155">
        <v>77234.95</v>
      </c>
      <c r="N1155">
        <v>46.35</v>
      </c>
      <c r="O1155">
        <v>616779.45</v>
      </c>
      <c r="P1155">
        <v>144461.63</v>
      </c>
      <c r="Q1155">
        <v>0</v>
      </c>
      <c r="R1155">
        <v>0</v>
      </c>
      <c r="S1155">
        <v>0.072</v>
      </c>
      <c r="T1155" t="s">
        <v>25</v>
      </c>
    </row>
    <row r="1156" spans="1:20" ht="15">
      <c r="A1156" t="s">
        <v>19</v>
      </c>
      <c r="B1156" t="s">
        <v>20</v>
      </c>
      <c r="C1156" t="str">
        <f t="shared" si="18"/>
        <v>31-Dec-21</v>
      </c>
      <c r="D1156" t="s">
        <v>21</v>
      </c>
      <c r="E1156" t="s">
        <v>22</v>
      </c>
      <c r="F1156" t="str">
        <f>"B2RLCR0"</f>
        <v>B2RLCR0</v>
      </c>
      <c r="G1156" t="s">
        <v>1195</v>
      </c>
      <c r="I1156" t="s">
        <v>1185</v>
      </c>
      <c r="J1156">
        <v>0.234219262</v>
      </c>
      <c r="K1156">
        <v>2132</v>
      </c>
      <c r="L1156">
        <v>221209.16</v>
      </c>
      <c r="M1156">
        <v>52644.26</v>
      </c>
      <c r="N1156">
        <v>131.4</v>
      </c>
      <c r="O1156">
        <v>280144.8</v>
      </c>
      <c r="P1156">
        <v>65615.31</v>
      </c>
      <c r="Q1156">
        <v>0</v>
      </c>
      <c r="R1156">
        <v>0</v>
      </c>
      <c r="S1156">
        <v>0.033</v>
      </c>
      <c r="T1156" t="s">
        <v>25</v>
      </c>
    </row>
    <row r="1157" spans="1:20" ht="15">
      <c r="A1157" t="s">
        <v>19</v>
      </c>
      <c r="B1157" t="s">
        <v>20</v>
      </c>
      <c r="C1157" t="str">
        <f t="shared" si="18"/>
        <v>31-Dec-21</v>
      </c>
      <c r="D1157" t="s">
        <v>21</v>
      </c>
      <c r="E1157" t="s">
        <v>22</v>
      </c>
      <c r="F1157" t="str">
        <f>"B128FN6"</f>
        <v>B128FN6</v>
      </c>
      <c r="G1157" t="s">
        <v>1196</v>
      </c>
      <c r="I1157" t="s">
        <v>1185</v>
      </c>
      <c r="J1157">
        <v>0.234219262</v>
      </c>
      <c r="K1157">
        <v>1863</v>
      </c>
      <c r="L1157">
        <v>131376.88</v>
      </c>
      <c r="M1157">
        <v>31366.88</v>
      </c>
      <c r="N1157">
        <v>77.5</v>
      </c>
      <c r="O1157">
        <v>144382.5</v>
      </c>
      <c r="P1157">
        <v>33817.16</v>
      </c>
      <c r="Q1157">
        <v>0</v>
      </c>
      <c r="R1157">
        <v>0</v>
      </c>
      <c r="S1157">
        <v>0.017</v>
      </c>
      <c r="T1157" t="s">
        <v>25</v>
      </c>
    </row>
    <row r="1158" spans="1:20" ht="15">
      <c r="A1158" t="s">
        <v>19</v>
      </c>
      <c r="B1158" t="s">
        <v>20</v>
      </c>
      <c r="C1158" t="str">
        <f t="shared" si="18"/>
        <v>31-Dec-21</v>
      </c>
      <c r="D1158" t="s">
        <v>21</v>
      </c>
      <c r="E1158" t="s">
        <v>22</v>
      </c>
      <c r="F1158" t="str">
        <f>"B95TKH1"</f>
        <v>B95TKH1</v>
      </c>
      <c r="G1158" t="s">
        <v>1197</v>
      </c>
      <c r="I1158" t="s">
        <v>1185</v>
      </c>
      <c r="J1158">
        <v>0.234219262</v>
      </c>
      <c r="K1158">
        <v>1634</v>
      </c>
      <c r="L1158">
        <v>66052.64</v>
      </c>
      <c r="M1158">
        <v>16013.29</v>
      </c>
      <c r="N1158">
        <v>75.1</v>
      </c>
      <c r="O1158">
        <v>122713.4</v>
      </c>
      <c r="P1158">
        <v>28741.84</v>
      </c>
      <c r="Q1158">
        <v>0</v>
      </c>
      <c r="R1158">
        <v>0</v>
      </c>
      <c r="S1158">
        <v>0.014</v>
      </c>
      <c r="T1158" t="s">
        <v>25</v>
      </c>
    </row>
    <row r="1159" spans="1:20" ht="15">
      <c r="A1159" t="s">
        <v>19</v>
      </c>
      <c r="B1159" t="s">
        <v>20</v>
      </c>
      <c r="C1159" t="str">
        <f t="shared" si="18"/>
        <v>31-Dec-21</v>
      </c>
      <c r="D1159" t="s">
        <v>21</v>
      </c>
      <c r="E1159" t="s">
        <v>22</v>
      </c>
      <c r="F1159" t="str">
        <f>"B2NC4X7"</f>
        <v>B2NC4X7</v>
      </c>
      <c r="G1159" t="s">
        <v>1198</v>
      </c>
      <c r="I1159" t="s">
        <v>1185</v>
      </c>
      <c r="J1159">
        <v>0.234219262</v>
      </c>
      <c r="K1159">
        <v>15370</v>
      </c>
      <c r="L1159">
        <v>163453.49</v>
      </c>
      <c r="M1159">
        <v>38898.53</v>
      </c>
      <c r="N1159">
        <v>10.06</v>
      </c>
      <c r="O1159">
        <v>154622.2</v>
      </c>
      <c r="P1159">
        <v>36215.5</v>
      </c>
      <c r="Q1159">
        <v>0</v>
      </c>
      <c r="R1159">
        <v>0</v>
      </c>
      <c r="S1159">
        <v>0.018</v>
      </c>
      <c r="T1159" t="s">
        <v>25</v>
      </c>
    </row>
    <row r="1160" spans="1:20" ht="15">
      <c r="A1160" t="s">
        <v>19</v>
      </c>
      <c r="B1160" t="s">
        <v>20</v>
      </c>
      <c r="C1160" t="str">
        <f t="shared" si="18"/>
        <v>31-Dec-21</v>
      </c>
      <c r="D1160" t="s">
        <v>21</v>
      </c>
      <c r="E1160" t="s">
        <v>22</v>
      </c>
      <c r="F1160" t="str">
        <f>"BLGM738"</f>
        <v>BLGM738</v>
      </c>
      <c r="G1160" t="s">
        <v>1199</v>
      </c>
      <c r="I1160" t="s">
        <v>1185</v>
      </c>
      <c r="J1160">
        <v>0.234219262</v>
      </c>
      <c r="K1160">
        <v>3212</v>
      </c>
      <c r="L1160">
        <v>316756</v>
      </c>
      <c r="M1160">
        <v>71521.6</v>
      </c>
      <c r="N1160">
        <v>161.4</v>
      </c>
      <c r="O1160">
        <v>518416.8</v>
      </c>
      <c r="P1160">
        <v>121423.2</v>
      </c>
      <c r="Q1160">
        <v>0</v>
      </c>
      <c r="R1160">
        <v>0</v>
      </c>
      <c r="S1160">
        <v>0.06</v>
      </c>
      <c r="T1160" t="s">
        <v>25</v>
      </c>
    </row>
    <row r="1161" spans="1:20" ht="15">
      <c r="A1161" t="s">
        <v>19</v>
      </c>
      <c r="B1161" t="s">
        <v>20</v>
      </c>
      <c r="C1161" t="str">
        <f t="shared" si="18"/>
        <v>31-Dec-21</v>
      </c>
      <c r="D1161" t="s">
        <v>21</v>
      </c>
      <c r="E1161" t="s">
        <v>22</v>
      </c>
      <c r="F1161" t="str">
        <f>"B19NK95"</f>
        <v>B19NK95</v>
      </c>
      <c r="G1161" t="s">
        <v>1200</v>
      </c>
      <c r="I1161" t="s">
        <v>1185</v>
      </c>
      <c r="J1161">
        <v>0.234219262</v>
      </c>
      <c r="K1161">
        <v>14673</v>
      </c>
      <c r="L1161">
        <v>143653.14</v>
      </c>
      <c r="M1161">
        <v>33880.69</v>
      </c>
      <c r="N1161">
        <v>11.94</v>
      </c>
      <c r="O1161">
        <v>175195.62</v>
      </c>
      <c r="P1161">
        <v>41034.19</v>
      </c>
      <c r="Q1161">
        <v>0</v>
      </c>
      <c r="R1161">
        <v>0</v>
      </c>
      <c r="S1161">
        <v>0.02</v>
      </c>
      <c r="T1161" t="s">
        <v>25</v>
      </c>
    </row>
    <row r="1162" spans="1:20" ht="15">
      <c r="A1162" t="s">
        <v>19</v>
      </c>
      <c r="B1162" t="s">
        <v>20</v>
      </c>
      <c r="C1162" t="str">
        <f t="shared" si="18"/>
        <v>31-Dec-21</v>
      </c>
      <c r="D1162" t="s">
        <v>21</v>
      </c>
      <c r="E1162" t="s">
        <v>22</v>
      </c>
      <c r="F1162" t="str">
        <f>"B12LR51"</f>
        <v>B12LR51</v>
      </c>
      <c r="G1162" t="s">
        <v>1201</v>
      </c>
      <c r="I1162" t="s">
        <v>1185</v>
      </c>
      <c r="J1162">
        <v>0.234219262</v>
      </c>
      <c r="K1162">
        <v>14844</v>
      </c>
      <c r="L1162">
        <v>353588.01</v>
      </c>
      <c r="M1162">
        <v>84015.49</v>
      </c>
      <c r="N1162">
        <v>31.15</v>
      </c>
      <c r="O1162">
        <v>462390.6</v>
      </c>
      <c r="P1162">
        <v>108300.78</v>
      </c>
      <c r="Q1162">
        <v>0</v>
      </c>
      <c r="R1162">
        <v>0</v>
      </c>
      <c r="S1162">
        <v>0.054</v>
      </c>
      <c r="T1162" t="s">
        <v>25</v>
      </c>
    </row>
    <row r="1163" spans="1:20" ht="15">
      <c r="A1163" t="s">
        <v>19</v>
      </c>
      <c r="B1163" t="s">
        <v>20</v>
      </c>
      <c r="C1163" t="str">
        <f t="shared" si="18"/>
        <v>31-Dec-21</v>
      </c>
      <c r="D1163" t="s">
        <v>21</v>
      </c>
      <c r="E1163" t="s">
        <v>22</v>
      </c>
      <c r="F1163" t="str">
        <f>"BM8SKZ4"</f>
        <v>BM8SKZ4</v>
      </c>
      <c r="G1163" t="s">
        <v>1202</v>
      </c>
      <c r="I1163" t="s">
        <v>1185</v>
      </c>
      <c r="J1163">
        <v>0.234219262</v>
      </c>
      <c r="K1163">
        <v>2942</v>
      </c>
      <c r="L1163">
        <v>235346.67</v>
      </c>
      <c r="M1163">
        <v>55534.42</v>
      </c>
      <c r="N1163">
        <v>84</v>
      </c>
      <c r="O1163">
        <v>247128</v>
      </c>
      <c r="P1163">
        <v>57882.14</v>
      </c>
      <c r="Q1163">
        <v>0</v>
      </c>
      <c r="R1163">
        <v>0</v>
      </c>
      <c r="S1163">
        <v>0.029</v>
      </c>
      <c r="T1163" t="s">
        <v>25</v>
      </c>
    </row>
    <row r="1164" spans="1:20" ht="15">
      <c r="A1164" t="s">
        <v>19</v>
      </c>
      <c r="B1164" t="s">
        <v>20</v>
      </c>
      <c r="C1164" t="str">
        <f t="shared" si="18"/>
        <v>31-Dec-21</v>
      </c>
      <c r="D1164" t="s">
        <v>21</v>
      </c>
      <c r="E1164" t="s">
        <v>22</v>
      </c>
      <c r="F1164" t="str">
        <f>"B128FM5"</f>
        <v>B128FM5</v>
      </c>
      <c r="G1164" t="s">
        <v>1203</v>
      </c>
      <c r="I1164" t="s">
        <v>1185</v>
      </c>
      <c r="J1164">
        <v>0.234219262</v>
      </c>
      <c r="K1164">
        <v>1393</v>
      </c>
      <c r="L1164">
        <v>219056.82</v>
      </c>
      <c r="M1164">
        <v>52035.27</v>
      </c>
      <c r="N1164">
        <v>196.8</v>
      </c>
      <c r="O1164">
        <v>274142.4</v>
      </c>
      <c r="P1164">
        <v>64209.43</v>
      </c>
      <c r="Q1164">
        <v>0</v>
      </c>
      <c r="R1164">
        <v>0</v>
      </c>
      <c r="S1164">
        <v>0.032</v>
      </c>
      <c r="T1164" t="s">
        <v>25</v>
      </c>
    </row>
    <row r="1165" spans="1:20" ht="15">
      <c r="A1165" t="s">
        <v>19</v>
      </c>
      <c r="B1165" t="s">
        <v>20</v>
      </c>
      <c r="C1165" t="str">
        <f t="shared" si="18"/>
        <v>31-Dec-21</v>
      </c>
      <c r="D1165" t="s">
        <v>21</v>
      </c>
      <c r="E1165" t="s">
        <v>22</v>
      </c>
      <c r="F1165" t="str">
        <f>"B2QG180"</f>
        <v>B2QG180</v>
      </c>
      <c r="G1165" t="s">
        <v>1204</v>
      </c>
      <c r="I1165" t="s">
        <v>1185</v>
      </c>
      <c r="J1165">
        <v>0.234219262</v>
      </c>
      <c r="K1165">
        <v>16044</v>
      </c>
      <c r="L1165">
        <v>208985.1</v>
      </c>
      <c r="M1165">
        <v>48177.37</v>
      </c>
      <c r="N1165">
        <v>12.04</v>
      </c>
      <c r="O1165">
        <v>193169.76</v>
      </c>
      <c r="P1165">
        <v>45244.08</v>
      </c>
      <c r="Q1165">
        <v>0</v>
      </c>
      <c r="R1165">
        <v>0</v>
      </c>
      <c r="S1165">
        <v>0.022</v>
      </c>
      <c r="T1165" t="s">
        <v>25</v>
      </c>
    </row>
    <row r="1166" spans="1:20" ht="15">
      <c r="A1166" t="s">
        <v>19</v>
      </c>
      <c r="B1166" t="s">
        <v>20</v>
      </c>
      <c r="C1166" t="str">
        <f t="shared" si="18"/>
        <v>31-Dec-21</v>
      </c>
      <c r="D1166" t="s">
        <v>21</v>
      </c>
      <c r="E1166" t="s">
        <v>22</v>
      </c>
      <c r="F1166" t="str">
        <f>"B403QG4"</f>
        <v>B403QG4</v>
      </c>
      <c r="G1166" t="s">
        <v>1205</v>
      </c>
      <c r="I1166" t="s">
        <v>1185</v>
      </c>
      <c r="J1166">
        <v>0.234219262</v>
      </c>
      <c r="K1166">
        <v>1480</v>
      </c>
      <c r="L1166">
        <v>131558.94</v>
      </c>
      <c r="M1166">
        <v>31414.55</v>
      </c>
      <c r="N1166">
        <v>173.8</v>
      </c>
      <c r="O1166">
        <v>257224</v>
      </c>
      <c r="P1166">
        <v>60246.82</v>
      </c>
      <c r="Q1166">
        <v>0</v>
      </c>
      <c r="R1166">
        <v>0</v>
      </c>
      <c r="S1166">
        <v>0.03</v>
      </c>
      <c r="T1166" t="s">
        <v>25</v>
      </c>
    </row>
    <row r="1167" spans="1:20" ht="15">
      <c r="A1167" t="s">
        <v>19</v>
      </c>
      <c r="B1167" t="s">
        <v>20</v>
      </c>
      <c r="C1167" t="str">
        <f t="shared" si="18"/>
        <v>31-Dec-21</v>
      </c>
      <c r="D1167" t="s">
        <v>21</v>
      </c>
      <c r="E1167" t="s">
        <v>22</v>
      </c>
      <c r="F1167" t="str">
        <f>"B136MP0"</f>
        <v>B136MP0</v>
      </c>
      <c r="G1167" t="s">
        <v>1206</v>
      </c>
      <c r="I1167" t="s">
        <v>1185</v>
      </c>
      <c r="J1167">
        <v>0.234219262</v>
      </c>
      <c r="K1167">
        <v>12331</v>
      </c>
      <c r="L1167">
        <v>183462.75</v>
      </c>
      <c r="M1167">
        <v>43376.81</v>
      </c>
      <c r="N1167">
        <v>19.96</v>
      </c>
      <c r="O1167">
        <v>246126.76</v>
      </c>
      <c r="P1167">
        <v>57647.63</v>
      </c>
      <c r="Q1167">
        <v>0</v>
      </c>
      <c r="R1167">
        <v>0</v>
      </c>
      <c r="S1167">
        <v>0.029</v>
      </c>
      <c r="T1167" t="s">
        <v>25</v>
      </c>
    </row>
    <row r="1168" spans="1:20" ht="15">
      <c r="A1168" t="s">
        <v>19</v>
      </c>
      <c r="B1168" t="s">
        <v>20</v>
      </c>
      <c r="C1168" t="str">
        <f t="shared" si="18"/>
        <v>31-Dec-21</v>
      </c>
      <c r="D1168" t="s">
        <v>21</v>
      </c>
      <c r="E1168" t="s">
        <v>22</v>
      </c>
      <c r="F1168" t="str">
        <f>"B3MYDP6"</f>
        <v>B3MYDP6</v>
      </c>
      <c r="G1168" t="s">
        <v>1207</v>
      </c>
      <c r="I1168" t="s">
        <v>1185</v>
      </c>
      <c r="J1168">
        <v>0.234219262</v>
      </c>
      <c r="K1168">
        <v>4301</v>
      </c>
      <c r="L1168">
        <v>114689.53</v>
      </c>
      <c r="M1168">
        <v>26830.58</v>
      </c>
      <c r="N1168">
        <v>40</v>
      </c>
      <c r="O1168">
        <v>172040</v>
      </c>
      <c r="P1168">
        <v>40295.08</v>
      </c>
      <c r="Q1168">
        <v>0</v>
      </c>
      <c r="R1168">
        <v>0</v>
      </c>
      <c r="S1168">
        <v>0.02</v>
      </c>
      <c r="T1168" t="s">
        <v>25</v>
      </c>
    </row>
    <row r="1169" spans="1:20" ht="15">
      <c r="A1169" t="s">
        <v>19</v>
      </c>
      <c r="B1169" t="s">
        <v>20</v>
      </c>
      <c r="C1169" t="str">
        <f t="shared" si="18"/>
        <v>31-Dec-21</v>
      </c>
      <c r="D1169" t="s">
        <v>21</v>
      </c>
      <c r="E1169" t="s">
        <v>22</v>
      </c>
      <c r="F1169" t="str">
        <f>"B136WG1"</f>
        <v>B136WG1</v>
      </c>
      <c r="G1169" t="s">
        <v>1208</v>
      </c>
      <c r="I1169" t="s">
        <v>1185</v>
      </c>
      <c r="J1169">
        <v>0.234219262</v>
      </c>
      <c r="K1169">
        <v>1156</v>
      </c>
      <c r="L1169">
        <v>67819.52</v>
      </c>
      <c r="M1169">
        <v>15955.09</v>
      </c>
      <c r="N1169">
        <v>75.7</v>
      </c>
      <c r="O1169">
        <v>87509.2</v>
      </c>
      <c r="P1169">
        <v>20496.34</v>
      </c>
      <c r="Q1169">
        <v>0</v>
      </c>
      <c r="R1169">
        <v>0</v>
      </c>
      <c r="S1169">
        <v>0.01</v>
      </c>
      <c r="T1169" t="s">
        <v>25</v>
      </c>
    </row>
    <row r="1170" spans="1:20" ht="15">
      <c r="A1170" t="s">
        <v>19</v>
      </c>
      <c r="B1170" t="s">
        <v>20</v>
      </c>
      <c r="C1170" t="str">
        <f t="shared" si="18"/>
        <v>31-Dec-21</v>
      </c>
      <c r="D1170" t="s">
        <v>21</v>
      </c>
      <c r="E1170" t="s">
        <v>22</v>
      </c>
      <c r="F1170" t="str">
        <f>"B2PF1B1"</f>
        <v>B2PF1B1</v>
      </c>
      <c r="G1170" t="s">
        <v>1209</v>
      </c>
      <c r="I1170" t="s">
        <v>1185</v>
      </c>
      <c r="J1170">
        <v>0.234219262</v>
      </c>
      <c r="K1170">
        <v>8248</v>
      </c>
      <c r="L1170">
        <v>154317.86</v>
      </c>
      <c r="M1170">
        <v>36324.53</v>
      </c>
      <c r="N1170">
        <v>20.7</v>
      </c>
      <c r="O1170">
        <v>170733.6</v>
      </c>
      <c r="P1170">
        <v>39989.1</v>
      </c>
      <c r="Q1170">
        <v>0</v>
      </c>
      <c r="R1170">
        <v>0</v>
      </c>
      <c r="S1170">
        <v>0.02</v>
      </c>
      <c r="T1170" t="s">
        <v>25</v>
      </c>
    </row>
    <row r="1171" spans="1:20" ht="15">
      <c r="A1171" t="s">
        <v>19</v>
      </c>
      <c r="B1171" t="s">
        <v>20</v>
      </c>
      <c r="C1171" t="str">
        <f t="shared" si="18"/>
        <v>31-Dec-21</v>
      </c>
      <c r="D1171" t="s">
        <v>21</v>
      </c>
      <c r="E1171" t="s">
        <v>22</v>
      </c>
      <c r="F1171" t="str">
        <f>"B12LZW4"</f>
        <v>B12LZW4</v>
      </c>
      <c r="G1171" t="s">
        <v>1210</v>
      </c>
      <c r="I1171" t="s">
        <v>1185</v>
      </c>
      <c r="J1171">
        <v>0.234219262</v>
      </c>
      <c r="K1171">
        <v>34882</v>
      </c>
      <c r="L1171">
        <v>809952.58</v>
      </c>
      <c r="M1171">
        <v>192979.31</v>
      </c>
      <c r="N1171">
        <v>27.1</v>
      </c>
      <c r="O1171">
        <v>945302.2</v>
      </c>
      <c r="P1171">
        <v>221407.98</v>
      </c>
      <c r="Q1171">
        <v>0</v>
      </c>
      <c r="R1171">
        <v>0</v>
      </c>
      <c r="S1171">
        <v>0.11</v>
      </c>
      <c r="T1171" t="s">
        <v>25</v>
      </c>
    </row>
    <row r="1172" spans="1:20" ht="15">
      <c r="A1172" t="s">
        <v>19</v>
      </c>
      <c r="B1172" t="s">
        <v>20</v>
      </c>
      <c r="C1172" t="str">
        <f t="shared" si="18"/>
        <v>31-Dec-21</v>
      </c>
      <c r="D1172" t="s">
        <v>21</v>
      </c>
      <c r="E1172" t="s">
        <v>22</v>
      </c>
      <c r="F1172" t="str">
        <f>"B1323K0"</f>
        <v>B1323K0</v>
      </c>
      <c r="G1172" t="s">
        <v>1211</v>
      </c>
      <c r="I1172" t="s">
        <v>1185</v>
      </c>
      <c r="J1172">
        <v>0.234219262</v>
      </c>
      <c r="K1172">
        <v>6388</v>
      </c>
      <c r="L1172">
        <v>501370.25</v>
      </c>
      <c r="M1172">
        <v>119313.88</v>
      </c>
      <c r="N1172">
        <v>176.6</v>
      </c>
      <c r="O1172">
        <v>1128120.8</v>
      </c>
      <c r="P1172">
        <v>264227.62</v>
      </c>
      <c r="Q1172">
        <v>0</v>
      </c>
      <c r="R1172">
        <v>0</v>
      </c>
      <c r="S1172">
        <v>0.131</v>
      </c>
      <c r="T1172" t="s">
        <v>25</v>
      </c>
    </row>
    <row r="1173" spans="1:20" ht="15">
      <c r="A1173" t="s">
        <v>19</v>
      </c>
      <c r="B1173" t="s">
        <v>20</v>
      </c>
      <c r="C1173" t="str">
        <f t="shared" si="18"/>
        <v>31-Dec-21</v>
      </c>
      <c r="D1173" t="s">
        <v>21</v>
      </c>
      <c r="E1173" t="s">
        <v>22</v>
      </c>
      <c r="F1173" t="str">
        <f>"B1C1NH5"</f>
        <v>B1C1NH5</v>
      </c>
      <c r="G1173" t="s">
        <v>1212</v>
      </c>
      <c r="I1173" t="s">
        <v>1185</v>
      </c>
      <c r="J1173">
        <v>0.234219262</v>
      </c>
      <c r="K1173">
        <v>13015</v>
      </c>
      <c r="L1173">
        <v>241632.4</v>
      </c>
      <c r="M1173">
        <v>57450.35</v>
      </c>
      <c r="N1173">
        <v>42</v>
      </c>
      <c r="O1173">
        <v>546630</v>
      </c>
      <c r="P1173">
        <v>128031.28</v>
      </c>
      <c r="Q1173">
        <v>0</v>
      </c>
      <c r="R1173">
        <v>0</v>
      </c>
      <c r="S1173">
        <v>0.063</v>
      </c>
      <c r="T1173" t="s">
        <v>25</v>
      </c>
    </row>
    <row r="1174" spans="1:20" ht="15">
      <c r="A1174" t="s">
        <v>19</v>
      </c>
      <c r="B1174" t="s">
        <v>20</v>
      </c>
      <c r="C1174" t="str">
        <f t="shared" si="18"/>
        <v>31-Dec-21</v>
      </c>
      <c r="D1174" t="s">
        <v>21</v>
      </c>
      <c r="E1174" t="s">
        <v>22</v>
      </c>
      <c r="F1174" t="str">
        <f>"B7J4PX9"</f>
        <v>B7J4PX9</v>
      </c>
      <c r="G1174" t="s">
        <v>1213</v>
      </c>
      <c r="I1174" t="s">
        <v>1185</v>
      </c>
      <c r="J1174">
        <v>0.234219262</v>
      </c>
      <c r="K1174">
        <v>2040</v>
      </c>
      <c r="L1174">
        <v>173166.28</v>
      </c>
      <c r="M1174">
        <v>40419.71</v>
      </c>
      <c r="N1174">
        <v>77.9</v>
      </c>
      <c r="O1174">
        <v>158916</v>
      </c>
      <c r="P1174">
        <v>37221.19</v>
      </c>
      <c r="Q1174">
        <v>0</v>
      </c>
      <c r="R1174">
        <v>0</v>
      </c>
      <c r="S1174">
        <v>0.018</v>
      </c>
      <c r="T1174" t="s">
        <v>25</v>
      </c>
    </row>
    <row r="1175" spans="1:20" ht="15">
      <c r="A1175" t="s">
        <v>19</v>
      </c>
      <c r="B1175" t="s">
        <v>20</v>
      </c>
      <c r="C1175" t="str">
        <f t="shared" si="18"/>
        <v>31-Dec-21</v>
      </c>
      <c r="D1175" t="s">
        <v>21</v>
      </c>
      <c r="E1175" t="s">
        <v>22</v>
      </c>
      <c r="F1175" t="str">
        <f>"B3C8VY3"</f>
        <v>B3C8VY3</v>
      </c>
      <c r="G1175" t="s">
        <v>1214</v>
      </c>
      <c r="I1175" t="s">
        <v>1185</v>
      </c>
      <c r="J1175">
        <v>0.234219262</v>
      </c>
      <c r="K1175">
        <v>13868</v>
      </c>
      <c r="L1175">
        <v>632925.43</v>
      </c>
      <c r="M1175">
        <v>150510.38</v>
      </c>
      <c r="N1175">
        <v>78.5</v>
      </c>
      <c r="O1175">
        <v>1088638</v>
      </c>
      <c r="P1175">
        <v>254979.99</v>
      </c>
      <c r="Q1175">
        <v>0</v>
      </c>
      <c r="R1175">
        <v>0</v>
      </c>
      <c r="S1175">
        <v>0.126</v>
      </c>
      <c r="T1175" t="s">
        <v>25</v>
      </c>
    </row>
    <row r="1176" spans="1:20" ht="15">
      <c r="A1176" t="s">
        <v>19</v>
      </c>
      <c r="B1176" t="s">
        <v>20</v>
      </c>
      <c r="C1176" t="str">
        <f t="shared" si="18"/>
        <v>31-Dec-21</v>
      </c>
      <c r="D1176" t="s">
        <v>21</v>
      </c>
      <c r="E1176" t="s">
        <v>22</v>
      </c>
      <c r="F1176" t="str">
        <f>"BJTM270"</f>
        <v>BJTM270</v>
      </c>
      <c r="G1176" t="s">
        <v>1215</v>
      </c>
      <c r="I1176" t="s">
        <v>1185</v>
      </c>
      <c r="J1176">
        <v>0.234219262</v>
      </c>
      <c r="K1176">
        <v>82303</v>
      </c>
      <c r="L1176">
        <v>2896067.66</v>
      </c>
      <c r="M1176">
        <v>676572.15</v>
      </c>
      <c r="N1176">
        <v>35.8</v>
      </c>
      <c r="O1176">
        <v>2946447.4</v>
      </c>
      <c r="P1176">
        <v>690114.73</v>
      </c>
      <c r="Q1176">
        <v>0</v>
      </c>
      <c r="R1176">
        <v>0</v>
      </c>
      <c r="S1176">
        <v>0.342</v>
      </c>
      <c r="T1176" t="s">
        <v>25</v>
      </c>
    </row>
    <row r="1177" spans="1:20" ht="15">
      <c r="A1177" t="s">
        <v>19</v>
      </c>
      <c r="B1177" t="s">
        <v>20</v>
      </c>
      <c r="C1177" t="str">
        <f t="shared" si="18"/>
        <v>31-Dec-21</v>
      </c>
      <c r="D1177" t="s">
        <v>21</v>
      </c>
      <c r="E1177" t="s">
        <v>22</v>
      </c>
      <c r="F1177" t="str">
        <f>"B1324D0"</f>
        <v>B1324D0</v>
      </c>
      <c r="G1177" t="s">
        <v>1216</v>
      </c>
      <c r="I1177" t="s">
        <v>1185</v>
      </c>
      <c r="J1177">
        <v>0.234219262</v>
      </c>
      <c r="K1177">
        <v>20996</v>
      </c>
      <c r="L1177">
        <v>2169941.97</v>
      </c>
      <c r="M1177">
        <v>515542.45</v>
      </c>
      <c r="N1177">
        <v>116</v>
      </c>
      <c r="O1177">
        <v>2435536</v>
      </c>
      <c r="P1177">
        <v>570449.44</v>
      </c>
      <c r="Q1177">
        <v>0</v>
      </c>
      <c r="R1177">
        <v>0</v>
      </c>
      <c r="S1177">
        <v>0.283</v>
      </c>
      <c r="T1177" t="s">
        <v>25</v>
      </c>
    </row>
    <row r="1178" spans="1:20" ht="15">
      <c r="A1178" t="s">
        <v>19</v>
      </c>
      <c r="B1178" t="s">
        <v>20</v>
      </c>
      <c r="C1178" t="str">
        <f t="shared" si="18"/>
        <v>31-Dec-21</v>
      </c>
      <c r="D1178" t="s">
        <v>21</v>
      </c>
      <c r="E1178" t="s">
        <v>22</v>
      </c>
      <c r="F1178" t="str">
        <f>"B12LSY7"</f>
        <v>B12LSY7</v>
      </c>
      <c r="G1178" t="s">
        <v>1217</v>
      </c>
      <c r="I1178" t="s">
        <v>1185</v>
      </c>
      <c r="J1178">
        <v>0.234219262</v>
      </c>
      <c r="K1178">
        <v>30711</v>
      </c>
      <c r="L1178">
        <v>800369.81</v>
      </c>
      <c r="M1178">
        <v>180803.64</v>
      </c>
      <c r="N1178">
        <v>33</v>
      </c>
      <c r="O1178">
        <v>1013463</v>
      </c>
      <c r="P1178">
        <v>237372.56</v>
      </c>
      <c r="Q1178">
        <v>0</v>
      </c>
      <c r="R1178">
        <v>0</v>
      </c>
      <c r="S1178">
        <v>0.118</v>
      </c>
      <c r="T1178" t="s">
        <v>25</v>
      </c>
    </row>
    <row r="1179" spans="1:20" ht="15">
      <c r="A1179" t="s">
        <v>19</v>
      </c>
      <c r="B1179" t="s">
        <v>20</v>
      </c>
      <c r="C1179" t="str">
        <f t="shared" si="18"/>
        <v>31-Dec-21</v>
      </c>
      <c r="D1179" t="s">
        <v>21</v>
      </c>
      <c r="E1179" t="s">
        <v>22</v>
      </c>
      <c r="F1179" t="str">
        <f>"B132HD1"</f>
        <v>B132HD1</v>
      </c>
      <c r="G1179" t="s">
        <v>1218</v>
      </c>
      <c r="I1179" t="s">
        <v>1185</v>
      </c>
      <c r="J1179">
        <v>0.234219262</v>
      </c>
      <c r="K1179">
        <v>1623</v>
      </c>
      <c r="L1179">
        <v>105229.18</v>
      </c>
      <c r="M1179">
        <v>25030.64</v>
      </c>
      <c r="N1179">
        <v>54.8</v>
      </c>
      <c r="O1179">
        <v>88940.4</v>
      </c>
      <c r="P1179">
        <v>20831.55</v>
      </c>
      <c r="Q1179">
        <v>0</v>
      </c>
      <c r="R1179">
        <v>0</v>
      </c>
      <c r="S1179">
        <v>0.01</v>
      </c>
      <c r="T1179" t="s">
        <v>25</v>
      </c>
    </row>
    <row r="1180" spans="1:20" ht="15">
      <c r="A1180" t="s">
        <v>19</v>
      </c>
      <c r="B1180" t="s">
        <v>20</v>
      </c>
      <c r="C1180" t="str">
        <f t="shared" si="18"/>
        <v>31-Dec-21</v>
      </c>
      <c r="D1180" t="s">
        <v>21</v>
      </c>
      <c r="E1180" t="s">
        <v>22</v>
      </c>
      <c r="F1180" t="str">
        <f>"B132NM2"</f>
        <v>B132NM2</v>
      </c>
      <c r="G1180" t="s">
        <v>1219</v>
      </c>
      <c r="I1180" t="s">
        <v>1185</v>
      </c>
      <c r="J1180">
        <v>0.234219262</v>
      </c>
      <c r="K1180">
        <v>26927</v>
      </c>
      <c r="L1180">
        <v>495964.41</v>
      </c>
      <c r="M1180">
        <v>118158.66</v>
      </c>
      <c r="N1180">
        <v>23.98</v>
      </c>
      <c r="O1180">
        <v>645709.46</v>
      </c>
      <c r="P1180">
        <v>151237.59</v>
      </c>
      <c r="Q1180">
        <v>0</v>
      </c>
      <c r="R1180">
        <v>0</v>
      </c>
      <c r="S1180">
        <v>0.075</v>
      </c>
      <c r="T1180" t="s">
        <v>25</v>
      </c>
    </row>
    <row r="1181" spans="1:20" ht="15">
      <c r="A1181" t="s">
        <v>19</v>
      </c>
      <c r="B1181" t="s">
        <v>20</v>
      </c>
      <c r="C1181" t="str">
        <f t="shared" si="18"/>
        <v>31-Dec-21</v>
      </c>
      <c r="D1181" t="s">
        <v>21</v>
      </c>
      <c r="E1181" t="s">
        <v>22</v>
      </c>
      <c r="F1181" t="str">
        <f>"BYYTJ69"</f>
        <v>BYYTJ69</v>
      </c>
      <c r="G1181" t="s">
        <v>1220</v>
      </c>
      <c r="I1181" t="s">
        <v>1185</v>
      </c>
      <c r="J1181">
        <v>0.234219262</v>
      </c>
      <c r="K1181">
        <v>2175</v>
      </c>
      <c r="L1181">
        <v>64718.94</v>
      </c>
      <c r="M1181">
        <v>15286.57</v>
      </c>
      <c r="N1181">
        <v>29.55</v>
      </c>
      <c r="O1181">
        <v>64271.25</v>
      </c>
      <c r="P1181">
        <v>15053.56</v>
      </c>
      <c r="Q1181">
        <v>0</v>
      </c>
      <c r="R1181">
        <v>0</v>
      </c>
      <c r="S1181">
        <v>0.007</v>
      </c>
      <c r="T1181" t="s">
        <v>25</v>
      </c>
    </row>
    <row r="1182" spans="1:20" ht="15">
      <c r="A1182" t="s">
        <v>19</v>
      </c>
      <c r="B1182" t="s">
        <v>20</v>
      </c>
      <c r="C1182" t="str">
        <f t="shared" si="18"/>
        <v>31-Dec-21</v>
      </c>
      <c r="D1182" t="s">
        <v>21</v>
      </c>
      <c r="E1182" t="s">
        <v>22</v>
      </c>
      <c r="F1182" t="str">
        <f>"B132Y63"</f>
        <v>B132Y63</v>
      </c>
      <c r="G1182" t="s">
        <v>1221</v>
      </c>
      <c r="I1182" t="s">
        <v>1185</v>
      </c>
      <c r="J1182">
        <v>0.234219262</v>
      </c>
      <c r="K1182">
        <v>8401</v>
      </c>
      <c r="L1182">
        <v>196844.04</v>
      </c>
      <c r="M1182">
        <v>46831.44</v>
      </c>
      <c r="N1182">
        <v>31.15</v>
      </c>
      <c r="O1182">
        <v>261691.15</v>
      </c>
      <c r="P1182">
        <v>61293.11</v>
      </c>
      <c r="Q1182">
        <v>0</v>
      </c>
      <c r="R1182">
        <v>0</v>
      </c>
      <c r="S1182">
        <v>0.03</v>
      </c>
      <c r="T1182" t="s">
        <v>25</v>
      </c>
    </row>
    <row r="1183" spans="1:20" ht="15">
      <c r="A1183" t="s">
        <v>19</v>
      </c>
      <c r="B1183" t="s">
        <v>20</v>
      </c>
      <c r="C1183" t="str">
        <f t="shared" si="18"/>
        <v>31-Dec-21</v>
      </c>
      <c r="D1183" t="s">
        <v>21</v>
      </c>
      <c r="E1183" t="s">
        <v>22</v>
      </c>
      <c r="F1183" t="str">
        <f>"B1Z8F66"</f>
        <v>B1Z8F66</v>
      </c>
      <c r="G1183" t="s">
        <v>1222</v>
      </c>
      <c r="I1183" t="s">
        <v>1185</v>
      </c>
      <c r="J1183">
        <v>0.234219262</v>
      </c>
      <c r="K1183">
        <v>26185</v>
      </c>
      <c r="L1183">
        <v>296791.72</v>
      </c>
      <c r="M1183">
        <v>70521.3</v>
      </c>
      <c r="N1183">
        <v>17.02</v>
      </c>
      <c r="O1183">
        <v>445668.7</v>
      </c>
      <c r="P1183">
        <v>104384.19</v>
      </c>
      <c r="Q1183">
        <v>0</v>
      </c>
      <c r="R1183">
        <v>0</v>
      </c>
      <c r="S1183">
        <v>0.052</v>
      </c>
      <c r="T1183" t="s">
        <v>25</v>
      </c>
    </row>
    <row r="1184" spans="1:20" ht="15">
      <c r="A1184" t="s">
        <v>19</v>
      </c>
      <c r="B1184" t="s">
        <v>20</v>
      </c>
      <c r="C1184" t="str">
        <f t="shared" si="18"/>
        <v>31-Dec-21</v>
      </c>
      <c r="D1184" t="s">
        <v>21</v>
      </c>
      <c r="E1184" t="s">
        <v>22</v>
      </c>
      <c r="F1184" t="str">
        <f>"BSHYYN1"</f>
        <v>BSHYYN1</v>
      </c>
      <c r="G1184" t="s">
        <v>1223</v>
      </c>
      <c r="I1184" t="s">
        <v>1185</v>
      </c>
      <c r="J1184">
        <v>0.234219262</v>
      </c>
      <c r="K1184">
        <v>70811</v>
      </c>
      <c r="L1184">
        <v>3285509.31</v>
      </c>
      <c r="M1184">
        <v>782636</v>
      </c>
      <c r="N1184">
        <v>64.4</v>
      </c>
      <c r="O1184">
        <v>4560228.4</v>
      </c>
      <c r="P1184">
        <v>1068093.33</v>
      </c>
      <c r="Q1184">
        <v>0</v>
      </c>
      <c r="R1184">
        <v>0</v>
      </c>
      <c r="S1184">
        <v>0.529</v>
      </c>
      <c r="T1184" t="s">
        <v>25</v>
      </c>
    </row>
    <row r="1185" spans="1:20" ht="15">
      <c r="A1185" t="s">
        <v>19</v>
      </c>
      <c r="B1185" t="s">
        <v>20</v>
      </c>
      <c r="C1185" t="str">
        <f t="shared" si="18"/>
        <v>31-Dec-21</v>
      </c>
      <c r="D1185" t="s">
        <v>21</v>
      </c>
      <c r="E1185" t="s">
        <v>22</v>
      </c>
      <c r="F1185" t="str">
        <f>"B156TT1"</f>
        <v>B156TT1</v>
      </c>
      <c r="G1185" t="s">
        <v>1224</v>
      </c>
      <c r="I1185" t="s">
        <v>1185</v>
      </c>
      <c r="J1185">
        <v>0.234219262</v>
      </c>
      <c r="K1185">
        <v>1233</v>
      </c>
      <c r="L1185">
        <v>108179.03</v>
      </c>
      <c r="M1185">
        <v>25928.28</v>
      </c>
      <c r="N1185">
        <v>196.2</v>
      </c>
      <c r="O1185">
        <v>241914.6</v>
      </c>
      <c r="P1185">
        <v>56661.06</v>
      </c>
      <c r="Q1185">
        <v>0</v>
      </c>
      <c r="R1185">
        <v>0</v>
      </c>
      <c r="S1185">
        <v>0.028</v>
      </c>
      <c r="T1185" t="s">
        <v>25</v>
      </c>
    </row>
    <row r="1186" spans="1:20" ht="15">
      <c r="A1186" t="s">
        <v>19</v>
      </c>
      <c r="B1186" t="s">
        <v>20</v>
      </c>
      <c r="C1186" t="str">
        <f t="shared" si="18"/>
        <v>31-Dec-21</v>
      </c>
      <c r="D1186" t="s">
        <v>21</v>
      </c>
      <c r="E1186" t="s">
        <v>22</v>
      </c>
      <c r="F1186" t="str">
        <f>"B12M7Q5"</f>
        <v>B12M7Q5</v>
      </c>
      <c r="G1186" t="s">
        <v>1225</v>
      </c>
      <c r="I1186" t="s">
        <v>1185</v>
      </c>
      <c r="J1186">
        <v>0.234219262</v>
      </c>
      <c r="K1186">
        <v>17647</v>
      </c>
      <c r="L1186">
        <v>1853898.62</v>
      </c>
      <c r="M1186">
        <v>440938.34</v>
      </c>
      <c r="N1186">
        <v>112.4</v>
      </c>
      <c r="O1186">
        <v>1983522.8</v>
      </c>
      <c r="P1186">
        <v>464579.25</v>
      </c>
      <c r="Q1186">
        <v>0</v>
      </c>
      <c r="R1186">
        <v>0</v>
      </c>
      <c r="S1186">
        <v>0.23</v>
      </c>
      <c r="T1186" t="s">
        <v>25</v>
      </c>
    </row>
    <row r="1187" spans="1:20" ht="15">
      <c r="A1187" t="s">
        <v>19</v>
      </c>
      <c r="B1187" t="s">
        <v>20</v>
      </c>
      <c r="C1187" t="str">
        <f t="shared" si="18"/>
        <v>31-Dec-21</v>
      </c>
      <c r="D1187" t="s">
        <v>21</v>
      </c>
      <c r="E1187" t="s">
        <v>22</v>
      </c>
      <c r="F1187" t="str">
        <f>"B133P41"</f>
        <v>B133P41</v>
      </c>
      <c r="G1187" t="s">
        <v>1226</v>
      </c>
      <c r="I1187" t="s">
        <v>1185</v>
      </c>
      <c r="J1187">
        <v>0.234219262</v>
      </c>
      <c r="K1187">
        <v>329</v>
      </c>
      <c r="L1187">
        <v>55382.54</v>
      </c>
      <c r="M1187">
        <v>12588.3</v>
      </c>
      <c r="N1187">
        <v>165</v>
      </c>
      <c r="O1187">
        <v>54285</v>
      </c>
      <c r="P1187">
        <v>12714.59</v>
      </c>
      <c r="Q1187">
        <v>0</v>
      </c>
      <c r="R1187">
        <v>0</v>
      </c>
      <c r="S1187">
        <v>0.006</v>
      </c>
      <c r="T1187" t="s">
        <v>25</v>
      </c>
    </row>
    <row r="1188" spans="1:20" ht="15">
      <c r="A1188" t="s">
        <v>19</v>
      </c>
      <c r="B1188" t="s">
        <v>20</v>
      </c>
      <c r="C1188" t="str">
        <f t="shared" si="18"/>
        <v>31-Dec-21</v>
      </c>
      <c r="D1188" t="s">
        <v>21</v>
      </c>
      <c r="E1188" t="s">
        <v>22</v>
      </c>
      <c r="F1188" t="str">
        <f>"B133RS9"</f>
        <v>B133RS9</v>
      </c>
      <c r="G1188" t="s">
        <v>1227</v>
      </c>
      <c r="I1188" t="s">
        <v>1185</v>
      </c>
      <c r="J1188">
        <v>0.234219262</v>
      </c>
      <c r="K1188">
        <v>8563</v>
      </c>
      <c r="L1188">
        <v>302444.7</v>
      </c>
      <c r="M1188">
        <v>71906.48</v>
      </c>
      <c r="N1188">
        <v>31.95</v>
      </c>
      <c r="O1188">
        <v>273587.85</v>
      </c>
      <c r="P1188">
        <v>64079.54</v>
      </c>
      <c r="Q1188">
        <v>0</v>
      </c>
      <c r="R1188">
        <v>0</v>
      </c>
      <c r="S1188">
        <v>0.032</v>
      </c>
      <c r="T1188" t="s">
        <v>25</v>
      </c>
    </row>
    <row r="1189" spans="1:20" ht="15">
      <c r="A1189" t="s">
        <v>19</v>
      </c>
      <c r="B1189" t="s">
        <v>20</v>
      </c>
      <c r="C1189" t="str">
        <f t="shared" si="18"/>
        <v>31-Dec-21</v>
      </c>
      <c r="D1189" t="s">
        <v>21</v>
      </c>
      <c r="E1189" t="s">
        <v>22</v>
      </c>
      <c r="F1189" t="str">
        <f>"B6WTLK3"</f>
        <v>B6WTLK3</v>
      </c>
      <c r="G1189" t="s">
        <v>1228</v>
      </c>
      <c r="I1189" t="s">
        <v>1185</v>
      </c>
      <c r="J1189">
        <v>0.234219262</v>
      </c>
      <c r="K1189">
        <v>3325</v>
      </c>
      <c r="L1189">
        <v>58516.85</v>
      </c>
      <c r="M1189">
        <v>13667.35</v>
      </c>
      <c r="N1189">
        <v>17.26</v>
      </c>
      <c r="O1189">
        <v>57389.5</v>
      </c>
      <c r="P1189">
        <v>13441.73</v>
      </c>
      <c r="Q1189">
        <v>0</v>
      </c>
      <c r="R1189">
        <v>0</v>
      </c>
      <c r="S1189">
        <v>0.007</v>
      </c>
      <c r="T1189" t="s">
        <v>25</v>
      </c>
    </row>
    <row r="1190" spans="1:20" ht="15">
      <c r="A1190" t="s">
        <v>19</v>
      </c>
      <c r="B1190" t="s">
        <v>20</v>
      </c>
      <c r="C1190" t="str">
        <f t="shared" si="18"/>
        <v>31-Dec-21</v>
      </c>
      <c r="D1190" t="s">
        <v>21</v>
      </c>
      <c r="E1190" t="s">
        <v>22</v>
      </c>
      <c r="F1190" t="str">
        <f>"B131QN1"</f>
        <v>B131QN1</v>
      </c>
      <c r="G1190" t="s">
        <v>1229</v>
      </c>
      <c r="I1190" t="s">
        <v>1185</v>
      </c>
      <c r="J1190">
        <v>0.234219262</v>
      </c>
      <c r="K1190">
        <v>1961</v>
      </c>
      <c r="L1190">
        <v>103773.77</v>
      </c>
      <c r="M1190">
        <v>24889.78</v>
      </c>
      <c r="N1190">
        <v>70.1</v>
      </c>
      <c r="O1190">
        <v>137466.1</v>
      </c>
      <c r="P1190">
        <v>32197.21</v>
      </c>
      <c r="Q1190">
        <v>0</v>
      </c>
      <c r="R1190">
        <v>0</v>
      </c>
      <c r="S1190">
        <v>0.016</v>
      </c>
      <c r="T1190" t="s">
        <v>25</v>
      </c>
    </row>
    <row r="1191" spans="1:20" ht="15">
      <c r="A1191" t="s">
        <v>19</v>
      </c>
      <c r="B1191" t="s">
        <v>20</v>
      </c>
      <c r="C1191" t="str">
        <f t="shared" si="18"/>
        <v>31-Dec-21</v>
      </c>
      <c r="D1191" t="s">
        <v>21</v>
      </c>
      <c r="E1191" t="s">
        <v>22</v>
      </c>
      <c r="F1191" t="str">
        <f>"B134K61"</f>
        <v>B134K61</v>
      </c>
      <c r="G1191" t="s">
        <v>1230</v>
      </c>
      <c r="I1191" t="s">
        <v>1185</v>
      </c>
      <c r="J1191">
        <v>0.234219262</v>
      </c>
      <c r="K1191">
        <v>1573</v>
      </c>
      <c r="L1191">
        <v>51137.82</v>
      </c>
      <c r="M1191">
        <v>12069.69</v>
      </c>
      <c r="N1191">
        <v>36.2</v>
      </c>
      <c r="O1191">
        <v>56942.6</v>
      </c>
      <c r="P1191">
        <v>13337.05</v>
      </c>
      <c r="Q1191">
        <v>0</v>
      </c>
      <c r="R1191">
        <v>0</v>
      </c>
      <c r="S1191">
        <v>0.007</v>
      </c>
      <c r="T1191" t="s">
        <v>25</v>
      </c>
    </row>
    <row r="1192" spans="1:20" ht="15">
      <c r="A1192" t="s">
        <v>19</v>
      </c>
      <c r="B1192" t="s">
        <v>20</v>
      </c>
      <c r="C1192" t="str">
        <f t="shared" si="18"/>
        <v>31-Dec-21</v>
      </c>
      <c r="D1192" t="s">
        <v>21</v>
      </c>
      <c r="E1192" t="s">
        <v>22</v>
      </c>
      <c r="F1192" t="str">
        <f>"B128CF7"</f>
        <v>B128CF7</v>
      </c>
      <c r="G1192" t="s">
        <v>1231</v>
      </c>
      <c r="I1192" t="s">
        <v>1185</v>
      </c>
      <c r="J1192">
        <v>0.234219262</v>
      </c>
      <c r="K1192">
        <v>7254</v>
      </c>
      <c r="L1192">
        <v>441252.4</v>
      </c>
      <c r="M1192">
        <v>104557.48</v>
      </c>
      <c r="N1192">
        <v>68.7</v>
      </c>
      <c r="O1192">
        <v>498349.8</v>
      </c>
      <c r="P1192">
        <v>116723.12</v>
      </c>
      <c r="Q1192">
        <v>0</v>
      </c>
      <c r="R1192">
        <v>0</v>
      </c>
      <c r="S1192">
        <v>0.058</v>
      </c>
      <c r="T1192" t="s">
        <v>25</v>
      </c>
    </row>
    <row r="1193" spans="1:20" ht="15">
      <c r="A1193" t="s">
        <v>19</v>
      </c>
      <c r="B1193" t="s">
        <v>20</v>
      </c>
      <c r="C1193" t="str">
        <f t="shared" si="18"/>
        <v>31-Dec-21</v>
      </c>
      <c r="D1193" t="s">
        <v>21</v>
      </c>
      <c r="E1193" t="s">
        <v>39</v>
      </c>
      <c r="I1193" t="s">
        <v>1185</v>
      </c>
      <c r="J1193">
        <v>0.234219262</v>
      </c>
      <c r="K1193">
        <v>0</v>
      </c>
      <c r="L1193">
        <v>29039.6</v>
      </c>
      <c r="M1193">
        <v>6822.03</v>
      </c>
      <c r="N1193">
        <v>0</v>
      </c>
      <c r="O1193">
        <v>29039.6</v>
      </c>
      <c r="P1193">
        <v>6801.63</v>
      </c>
      <c r="Q1193">
        <v>0</v>
      </c>
      <c r="R1193">
        <v>0</v>
      </c>
      <c r="S1193">
        <v>0.003</v>
      </c>
      <c r="T1193" t="s">
        <v>1232</v>
      </c>
    </row>
    <row r="1194" spans="1:20" ht="15">
      <c r="A1194" t="s">
        <v>19</v>
      </c>
      <c r="B1194" t="s">
        <v>20</v>
      </c>
      <c r="C1194" t="str">
        <f t="shared" si="18"/>
        <v>31-Dec-21</v>
      </c>
      <c r="D1194" t="s">
        <v>21</v>
      </c>
      <c r="E1194" t="s">
        <v>22</v>
      </c>
      <c r="F1194" t="str">
        <f>"B1VT035"</f>
        <v>B1VT035</v>
      </c>
      <c r="G1194" t="s">
        <v>1233</v>
      </c>
      <c r="I1194" t="s">
        <v>1234</v>
      </c>
      <c r="J1194">
        <v>0.652266288</v>
      </c>
      <c r="K1194">
        <v>74178</v>
      </c>
      <c r="L1194">
        <v>116897.28</v>
      </c>
      <c r="M1194">
        <v>73653.35</v>
      </c>
      <c r="N1194">
        <v>1.34</v>
      </c>
      <c r="O1194">
        <v>99398.52</v>
      </c>
      <c r="P1194">
        <v>64834.3</v>
      </c>
      <c r="Q1194">
        <v>0</v>
      </c>
      <c r="R1194">
        <v>0</v>
      </c>
      <c r="S1194">
        <v>0.032</v>
      </c>
      <c r="T1194" t="s">
        <v>25</v>
      </c>
    </row>
    <row r="1195" spans="1:20" ht="15">
      <c r="A1195" t="s">
        <v>19</v>
      </c>
      <c r="B1195" t="s">
        <v>20</v>
      </c>
      <c r="C1195" t="str">
        <f t="shared" si="18"/>
        <v>31-Dec-21</v>
      </c>
      <c r="D1195" t="s">
        <v>21</v>
      </c>
      <c r="E1195" t="s">
        <v>22</v>
      </c>
      <c r="F1195" t="str">
        <f>"B17KMY7"</f>
        <v>B17KMY7</v>
      </c>
      <c r="G1195" t="s">
        <v>1235</v>
      </c>
      <c r="I1195" t="s">
        <v>1234</v>
      </c>
      <c r="J1195">
        <v>0.652266288</v>
      </c>
      <c r="K1195">
        <v>36438</v>
      </c>
      <c r="L1195">
        <v>53999.94</v>
      </c>
      <c r="M1195">
        <v>34256.69</v>
      </c>
      <c r="N1195">
        <v>1.11</v>
      </c>
      <c r="O1195">
        <v>40446.18</v>
      </c>
      <c r="P1195">
        <v>26381.68</v>
      </c>
      <c r="Q1195">
        <v>0</v>
      </c>
      <c r="R1195">
        <v>0</v>
      </c>
      <c r="S1195">
        <v>0.013</v>
      </c>
      <c r="T1195" t="s">
        <v>25</v>
      </c>
    </row>
    <row r="1196" spans="1:20" ht="15">
      <c r="A1196" t="s">
        <v>19</v>
      </c>
      <c r="B1196" t="s">
        <v>20</v>
      </c>
      <c r="C1196" t="str">
        <f t="shared" si="18"/>
        <v>31-Dec-21</v>
      </c>
      <c r="D1196" t="s">
        <v>21</v>
      </c>
      <c r="E1196" t="s">
        <v>39</v>
      </c>
      <c r="I1196" t="s">
        <v>1234</v>
      </c>
      <c r="J1196">
        <v>0.652266288</v>
      </c>
      <c r="K1196">
        <v>0</v>
      </c>
      <c r="L1196">
        <v>11760.46</v>
      </c>
      <c r="M1196">
        <v>7288.62</v>
      </c>
      <c r="N1196">
        <v>0</v>
      </c>
      <c r="O1196">
        <v>11760.46</v>
      </c>
      <c r="P1196">
        <v>7670.95</v>
      </c>
      <c r="Q1196">
        <v>0</v>
      </c>
      <c r="R1196">
        <v>0</v>
      </c>
      <c r="S1196">
        <v>0.004</v>
      </c>
      <c r="T1196" t="s">
        <v>1183</v>
      </c>
    </row>
    <row r="1197" spans="1:20" ht="15">
      <c r="A1197" t="s">
        <v>19</v>
      </c>
      <c r="B1197" t="s">
        <v>20</v>
      </c>
      <c r="C1197" t="str">
        <f t="shared" si="18"/>
        <v>31-Dec-21</v>
      </c>
      <c r="D1197" t="s">
        <v>21</v>
      </c>
      <c r="E1197" t="s">
        <v>22</v>
      </c>
      <c r="F1197" t="str">
        <f>"6412591"</f>
        <v>6412591</v>
      </c>
      <c r="G1197" t="s">
        <v>1236</v>
      </c>
      <c r="I1197" t="s">
        <v>1237</v>
      </c>
      <c r="J1197">
        <v>0.026323987</v>
      </c>
      <c r="K1197">
        <v>30800</v>
      </c>
      <c r="L1197">
        <v>6925650.66</v>
      </c>
      <c r="M1197">
        <v>157874.78</v>
      </c>
      <c r="N1197">
        <v>230</v>
      </c>
      <c r="O1197">
        <v>7084000</v>
      </c>
      <c r="P1197">
        <v>186479.13</v>
      </c>
      <c r="Q1197">
        <v>0</v>
      </c>
      <c r="R1197">
        <v>0</v>
      </c>
      <c r="S1197">
        <v>0.092</v>
      </c>
      <c r="T1197" t="s">
        <v>25</v>
      </c>
    </row>
    <row r="1198" spans="1:20" ht="15">
      <c r="A1198" t="s">
        <v>19</v>
      </c>
      <c r="B1198" t="s">
        <v>20</v>
      </c>
      <c r="C1198" t="str">
        <f t="shared" si="18"/>
        <v>31-Dec-21</v>
      </c>
      <c r="D1198" t="s">
        <v>21</v>
      </c>
      <c r="E1198" t="s">
        <v>22</v>
      </c>
      <c r="F1198" t="str">
        <f>"BDFLHY1"</f>
        <v>BDFLHY1</v>
      </c>
      <c r="G1198" t="s">
        <v>1238</v>
      </c>
      <c r="I1198" t="s">
        <v>1237</v>
      </c>
      <c r="J1198">
        <v>0.026323987</v>
      </c>
      <c r="K1198">
        <v>97100</v>
      </c>
      <c r="L1198">
        <v>1827750.91</v>
      </c>
      <c r="M1198">
        <v>41386.54</v>
      </c>
      <c r="N1198">
        <v>61</v>
      </c>
      <c r="O1198">
        <v>5923100</v>
      </c>
      <c r="P1198">
        <v>155919.61</v>
      </c>
      <c r="Q1198">
        <v>0</v>
      </c>
      <c r="R1198">
        <v>0</v>
      </c>
      <c r="S1198">
        <v>0.077</v>
      </c>
      <c r="T1198" t="s">
        <v>25</v>
      </c>
    </row>
    <row r="1199" spans="1:20" ht="15">
      <c r="A1199" t="s">
        <v>19</v>
      </c>
      <c r="B1199" t="s">
        <v>20</v>
      </c>
      <c r="C1199" t="str">
        <f t="shared" si="18"/>
        <v>31-Dec-21</v>
      </c>
      <c r="D1199" t="s">
        <v>21</v>
      </c>
      <c r="E1199" t="s">
        <v>22</v>
      </c>
      <c r="F1199" t="str">
        <f>"6741206"</f>
        <v>6741206</v>
      </c>
      <c r="G1199" t="s">
        <v>1239</v>
      </c>
      <c r="I1199" t="s">
        <v>1237</v>
      </c>
      <c r="J1199">
        <v>0.026323987</v>
      </c>
      <c r="K1199">
        <v>38002</v>
      </c>
      <c r="L1199">
        <v>2356213.82</v>
      </c>
      <c r="M1199">
        <v>67440.52</v>
      </c>
      <c r="N1199">
        <v>61</v>
      </c>
      <c r="O1199">
        <v>2318122</v>
      </c>
      <c r="P1199">
        <v>61022.21</v>
      </c>
      <c r="Q1199">
        <v>0</v>
      </c>
      <c r="R1199">
        <v>0</v>
      </c>
      <c r="S1199">
        <v>0.03</v>
      </c>
      <c r="T1199" t="s">
        <v>25</v>
      </c>
    </row>
    <row r="1200" spans="1:20" ht="15">
      <c r="A1200" t="s">
        <v>19</v>
      </c>
      <c r="B1200" t="s">
        <v>20</v>
      </c>
      <c r="C1200" t="str">
        <f t="shared" si="18"/>
        <v>31-Dec-21</v>
      </c>
      <c r="D1200" t="s">
        <v>21</v>
      </c>
      <c r="E1200" t="s">
        <v>22</v>
      </c>
      <c r="F1200" t="str">
        <f>"BK58JY5"</f>
        <v>BK58JY5</v>
      </c>
      <c r="G1200" t="s">
        <v>1240</v>
      </c>
      <c r="I1200" t="s">
        <v>1237</v>
      </c>
      <c r="J1200">
        <v>0.026323987</v>
      </c>
      <c r="K1200">
        <v>257000</v>
      </c>
      <c r="L1200">
        <v>1375760.48</v>
      </c>
      <c r="M1200">
        <v>41316.32</v>
      </c>
      <c r="N1200">
        <v>4.64</v>
      </c>
      <c r="O1200">
        <v>1192480</v>
      </c>
      <c r="P1200">
        <v>31390.83</v>
      </c>
      <c r="Q1200">
        <v>0</v>
      </c>
      <c r="R1200">
        <v>0</v>
      </c>
      <c r="S1200">
        <v>0.016</v>
      </c>
      <c r="T1200" t="s">
        <v>25</v>
      </c>
    </row>
    <row r="1201" spans="1:20" ht="15">
      <c r="A1201" t="s">
        <v>19</v>
      </c>
      <c r="B1201" t="s">
        <v>20</v>
      </c>
      <c r="C1201" t="str">
        <f t="shared" si="18"/>
        <v>31-Dec-21</v>
      </c>
      <c r="D1201" t="s">
        <v>21</v>
      </c>
      <c r="E1201" t="s">
        <v>22</v>
      </c>
      <c r="F1201" t="str">
        <f>"BDVJ686"</f>
        <v>BDVJ686</v>
      </c>
      <c r="G1201" t="s">
        <v>1241</v>
      </c>
      <c r="I1201" t="s">
        <v>1237</v>
      </c>
      <c r="J1201">
        <v>0.026323987</v>
      </c>
      <c r="K1201">
        <v>26500</v>
      </c>
      <c r="L1201">
        <v>1204411.45</v>
      </c>
      <c r="M1201">
        <v>35989.94</v>
      </c>
      <c r="N1201">
        <v>40.5</v>
      </c>
      <c r="O1201">
        <v>1073250</v>
      </c>
      <c r="P1201">
        <v>28252.22</v>
      </c>
      <c r="Q1201">
        <v>0</v>
      </c>
      <c r="R1201">
        <v>0</v>
      </c>
      <c r="S1201">
        <v>0.014</v>
      </c>
      <c r="T1201" t="s">
        <v>25</v>
      </c>
    </row>
    <row r="1202" spans="1:20" ht="15">
      <c r="A1202" t="s">
        <v>19</v>
      </c>
      <c r="B1202" t="s">
        <v>20</v>
      </c>
      <c r="C1202" t="str">
        <f t="shared" si="18"/>
        <v>31-Dec-21</v>
      </c>
      <c r="D1202" t="s">
        <v>21</v>
      </c>
      <c r="E1202" t="s">
        <v>22</v>
      </c>
      <c r="F1202" t="str">
        <f>"B0H72C9"</f>
        <v>B0H72C9</v>
      </c>
      <c r="G1202" t="s">
        <v>1242</v>
      </c>
      <c r="I1202" t="s">
        <v>1237</v>
      </c>
      <c r="J1202">
        <v>0.026323987</v>
      </c>
      <c r="K1202">
        <v>321250</v>
      </c>
      <c r="L1202">
        <v>3138423.15</v>
      </c>
      <c r="M1202">
        <v>81240.32</v>
      </c>
      <c r="N1202">
        <v>9.35</v>
      </c>
      <c r="O1202">
        <v>3003687.5</v>
      </c>
      <c r="P1202">
        <v>79069.03</v>
      </c>
      <c r="Q1202">
        <v>0</v>
      </c>
      <c r="R1202">
        <v>0</v>
      </c>
      <c r="S1202">
        <v>0.039</v>
      </c>
      <c r="T1202" t="s">
        <v>25</v>
      </c>
    </row>
    <row r="1203" spans="1:20" ht="15">
      <c r="A1203" t="s">
        <v>19</v>
      </c>
      <c r="B1203" t="s">
        <v>20</v>
      </c>
      <c r="C1203" t="str">
        <f t="shared" si="18"/>
        <v>31-Dec-21</v>
      </c>
      <c r="D1203" t="s">
        <v>21</v>
      </c>
      <c r="E1203" t="s">
        <v>22</v>
      </c>
      <c r="F1203" t="str">
        <f>"6077019"</f>
        <v>6077019</v>
      </c>
      <c r="G1203" t="s">
        <v>1243</v>
      </c>
      <c r="I1203" t="s">
        <v>1237</v>
      </c>
      <c r="J1203">
        <v>0.026323987</v>
      </c>
      <c r="K1203">
        <v>7300</v>
      </c>
      <c r="L1203">
        <v>1429067.22</v>
      </c>
      <c r="M1203">
        <v>33440.03</v>
      </c>
      <c r="N1203">
        <v>121</v>
      </c>
      <c r="O1203">
        <v>883300</v>
      </c>
      <c r="P1203">
        <v>23251.98</v>
      </c>
      <c r="Q1203">
        <v>0</v>
      </c>
      <c r="R1203">
        <v>0</v>
      </c>
      <c r="S1203">
        <v>0.012</v>
      </c>
      <c r="T1203" t="s">
        <v>25</v>
      </c>
    </row>
    <row r="1204" spans="1:20" ht="15">
      <c r="A1204" t="s">
        <v>19</v>
      </c>
      <c r="B1204" t="s">
        <v>20</v>
      </c>
      <c r="C1204" t="str">
        <f t="shared" si="18"/>
        <v>31-Dec-21</v>
      </c>
      <c r="D1204" t="s">
        <v>21</v>
      </c>
      <c r="E1204" t="s">
        <v>22</v>
      </c>
      <c r="F1204" t="str">
        <f>"6368360"</f>
        <v>6368360</v>
      </c>
      <c r="G1204" t="s">
        <v>1244</v>
      </c>
      <c r="I1204" t="s">
        <v>1237</v>
      </c>
      <c r="J1204">
        <v>0.026323987</v>
      </c>
      <c r="K1204">
        <v>6927</v>
      </c>
      <c r="L1204">
        <v>858697.98</v>
      </c>
      <c r="M1204">
        <v>23343.27</v>
      </c>
      <c r="N1204">
        <v>121.5</v>
      </c>
      <c r="O1204">
        <v>841630.5</v>
      </c>
      <c r="P1204">
        <v>22155.07</v>
      </c>
      <c r="Q1204">
        <v>0</v>
      </c>
      <c r="R1204">
        <v>0</v>
      </c>
      <c r="S1204">
        <v>0.011</v>
      </c>
      <c r="T1204" t="s">
        <v>25</v>
      </c>
    </row>
    <row r="1205" spans="1:20" ht="15">
      <c r="A1205" t="s">
        <v>19</v>
      </c>
      <c r="B1205" t="s">
        <v>20</v>
      </c>
      <c r="C1205" t="str">
        <f t="shared" si="18"/>
        <v>31-Dec-21</v>
      </c>
      <c r="D1205" t="s">
        <v>21</v>
      </c>
      <c r="E1205" t="s">
        <v>22</v>
      </c>
      <c r="F1205" t="str">
        <f>"BLZGSM7"</f>
        <v>BLZGSM7</v>
      </c>
      <c r="G1205" t="s">
        <v>1245</v>
      </c>
      <c r="I1205" t="s">
        <v>1237</v>
      </c>
      <c r="J1205">
        <v>0.026323987</v>
      </c>
      <c r="K1205">
        <v>89500</v>
      </c>
      <c r="L1205">
        <v>1155635.28</v>
      </c>
      <c r="M1205">
        <v>26446.32</v>
      </c>
      <c r="N1205">
        <v>23</v>
      </c>
      <c r="O1205">
        <v>2058500</v>
      </c>
      <c r="P1205">
        <v>54187.93</v>
      </c>
      <c r="Q1205">
        <v>0</v>
      </c>
      <c r="R1205">
        <v>0</v>
      </c>
      <c r="S1205">
        <v>0.027</v>
      </c>
      <c r="T1205" t="s">
        <v>25</v>
      </c>
    </row>
    <row r="1206" spans="1:20" ht="15">
      <c r="A1206" t="s">
        <v>19</v>
      </c>
      <c r="B1206" t="s">
        <v>20</v>
      </c>
      <c r="C1206" t="str">
        <f t="shared" si="18"/>
        <v>31-Dec-21</v>
      </c>
      <c r="D1206" t="s">
        <v>21</v>
      </c>
      <c r="E1206" t="s">
        <v>22</v>
      </c>
      <c r="F1206" t="str">
        <f>"B013SV4"</f>
        <v>B013SV4</v>
      </c>
      <c r="G1206" t="s">
        <v>1246</v>
      </c>
      <c r="I1206" t="s">
        <v>1237</v>
      </c>
      <c r="J1206">
        <v>0.026323987</v>
      </c>
      <c r="K1206">
        <v>194356</v>
      </c>
      <c r="L1206">
        <v>4236988.99</v>
      </c>
      <c r="M1206">
        <v>112831.81</v>
      </c>
      <c r="N1206">
        <v>23</v>
      </c>
      <c r="O1206">
        <v>4470188</v>
      </c>
      <c r="P1206">
        <v>117673.17</v>
      </c>
      <c r="Q1206">
        <v>0</v>
      </c>
      <c r="R1206">
        <v>0</v>
      </c>
      <c r="S1206">
        <v>0.058</v>
      </c>
      <c r="T1206" t="s">
        <v>25</v>
      </c>
    </row>
    <row r="1207" spans="1:20" ht="15">
      <c r="A1207" t="s">
        <v>19</v>
      </c>
      <c r="B1207" t="s">
        <v>20</v>
      </c>
      <c r="C1207" t="str">
        <f t="shared" si="18"/>
        <v>31-Dec-21</v>
      </c>
      <c r="D1207" t="s">
        <v>21</v>
      </c>
      <c r="E1207" t="s">
        <v>22</v>
      </c>
      <c r="F1207" t="str">
        <f>"BDCR9C4"</f>
        <v>BDCR9C4</v>
      </c>
      <c r="G1207" t="s">
        <v>1247</v>
      </c>
      <c r="I1207" t="s">
        <v>1237</v>
      </c>
      <c r="J1207">
        <v>0.026323987</v>
      </c>
      <c r="K1207">
        <v>289400</v>
      </c>
      <c r="L1207">
        <v>2114744.28</v>
      </c>
      <c r="M1207">
        <v>55476.13</v>
      </c>
      <c r="N1207">
        <v>8.45</v>
      </c>
      <c r="O1207">
        <v>2445430</v>
      </c>
      <c r="P1207">
        <v>64373.47</v>
      </c>
      <c r="Q1207">
        <v>0</v>
      </c>
      <c r="R1207">
        <v>0</v>
      </c>
      <c r="S1207">
        <v>0.032</v>
      </c>
      <c r="T1207" t="s">
        <v>25</v>
      </c>
    </row>
    <row r="1208" spans="1:20" ht="15">
      <c r="A1208" t="s">
        <v>19</v>
      </c>
      <c r="B1208" t="s">
        <v>20</v>
      </c>
      <c r="C1208" t="str">
        <f t="shared" si="18"/>
        <v>31-Dec-21</v>
      </c>
      <c r="D1208" t="s">
        <v>21</v>
      </c>
      <c r="E1208" t="s">
        <v>22</v>
      </c>
      <c r="F1208" t="str">
        <f>"B4Q98Z9"</f>
        <v>B4Q98Z9</v>
      </c>
      <c r="G1208" t="s">
        <v>1248</v>
      </c>
      <c r="I1208" t="s">
        <v>1237</v>
      </c>
      <c r="J1208">
        <v>0.026323987</v>
      </c>
      <c r="K1208">
        <v>22320</v>
      </c>
      <c r="L1208">
        <v>1252754.19</v>
      </c>
      <c r="M1208">
        <v>31523.84</v>
      </c>
      <c r="N1208">
        <v>37.25</v>
      </c>
      <c r="O1208">
        <v>831420</v>
      </c>
      <c r="P1208">
        <v>21886.29</v>
      </c>
      <c r="Q1208">
        <v>0</v>
      </c>
      <c r="R1208">
        <v>0</v>
      </c>
      <c r="S1208">
        <v>0.011</v>
      </c>
      <c r="T1208" t="s">
        <v>25</v>
      </c>
    </row>
    <row r="1209" spans="1:20" ht="15">
      <c r="A1209" t="s">
        <v>19</v>
      </c>
      <c r="B1209" t="s">
        <v>20</v>
      </c>
      <c r="C1209" t="str">
        <f t="shared" si="18"/>
        <v>31-Dec-21</v>
      </c>
      <c r="D1209" t="s">
        <v>21</v>
      </c>
      <c r="E1209" t="s">
        <v>22</v>
      </c>
      <c r="F1209" t="str">
        <f>"BJFHBT4"</f>
        <v>BJFHBT4</v>
      </c>
      <c r="G1209" t="s">
        <v>1249</v>
      </c>
      <c r="I1209" t="s">
        <v>1237</v>
      </c>
      <c r="J1209">
        <v>0.026323987</v>
      </c>
      <c r="K1209">
        <v>22300</v>
      </c>
      <c r="L1209">
        <v>103184.87</v>
      </c>
      <c r="M1209">
        <v>2621.79</v>
      </c>
      <c r="N1209">
        <v>10.6</v>
      </c>
      <c r="O1209">
        <v>236380</v>
      </c>
      <c r="P1209">
        <v>6222.46</v>
      </c>
      <c r="Q1209">
        <v>0</v>
      </c>
      <c r="R1209">
        <v>0</v>
      </c>
      <c r="S1209">
        <v>0.003</v>
      </c>
      <c r="T1209" t="s">
        <v>25</v>
      </c>
    </row>
    <row r="1210" spans="1:20" ht="15">
      <c r="A1210" t="s">
        <v>19</v>
      </c>
      <c r="B1210" t="s">
        <v>20</v>
      </c>
      <c r="C1210" t="str">
        <f t="shared" si="18"/>
        <v>31-Dec-21</v>
      </c>
      <c r="D1210" t="s">
        <v>21</v>
      </c>
      <c r="E1210" t="s">
        <v>22</v>
      </c>
      <c r="F1210" t="str">
        <f>"6368348"</f>
        <v>6368348</v>
      </c>
      <c r="G1210" t="s">
        <v>1250</v>
      </c>
      <c r="I1210" t="s">
        <v>1237</v>
      </c>
      <c r="J1210">
        <v>0.026323987</v>
      </c>
      <c r="K1210">
        <v>125400</v>
      </c>
      <c r="L1210">
        <v>1660836.21</v>
      </c>
      <c r="M1210">
        <v>42693.05</v>
      </c>
      <c r="N1210">
        <v>10.6</v>
      </c>
      <c r="O1210">
        <v>1329240</v>
      </c>
      <c r="P1210">
        <v>34990.9</v>
      </c>
      <c r="Q1210">
        <v>0</v>
      </c>
      <c r="R1210">
        <v>0</v>
      </c>
      <c r="S1210">
        <v>0.017</v>
      </c>
      <c r="T1210" t="s">
        <v>25</v>
      </c>
    </row>
    <row r="1211" spans="1:20" ht="15">
      <c r="A1211" t="s">
        <v>19</v>
      </c>
      <c r="B1211" t="s">
        <v>20</v>
      </c>
      <c r="C1211" t="str">
        <f t="shared" si="18"/>
        <v>31-Dec-21</v>
      </c>
      <c r="D1211" t="s">
        <v>21</v>
      </c>
      <c r="E1211" t="s">
        <v>22</v>
      </c>
      <c r="F1211" t="str">
        <f>"6094030"</f>
        <v>6094030</v>
      </c>
      <c r="G1211" t="s">
        <v>1251</v>
      </c>
      <c r="I1211" t="s">
        <v>1237</v>
      </c>
      <c r="J1211">
        <v>0.026323987</v>
      </c>
      <c r="K1211">
        <v>31800</v>
      </c>
      <c r="L1211">
        <v>1147260.28</v>
      </c>
      <c r="M1211">
        <v>28981.84</v>
      </c>
      <c r="N1211">
        <v>31</v>
      </c>
      <c r="O1211">
        <v>985800</v>
      </c>
      <c r="P1211">
        <v>25950.19</v>
      </c>
      <c r="Q1211">
        <v>0</v>
      </c>
      <c r="R1211">
        <v>0</v>
      </c>
      <c r="S1211">
        <v>0.013</v>
      </c>
      <c r="T1211" t="s">
        <v>25</v>
      </c>
    </row>
    <row r="1212" spans="1:20" ht="15">
      <c r="A1212" t="s">
        <v>19</v>
      </c>
      <c r="B1212" t="s">
        <v>20</v>
      </c>
      <c r="C1212" t="str">
        <f t="shared" si="18"/>
        <v>31-Dec-21</v>
      </c>
      <c r="D1212" t="s">
        <v>21</v>
      </c>
      <c r="E1212" t="s">
        <v>22</v>
      </c>
      <c r="F1212" t="str">
        <f>"6360162"</f>
        <v>6360162</v>
      </c>
      <c r="G1212" t="s">
        <v>1252</v>
      </c>
      <c r="I1212" t="s">
        <v>1237</v>
      </c>
      <c r="J1212">
        <v>0.026323987</v>
      </c>
      <c r="K1212">
        <v>8800</v>
      </c>
      <c r="L1212">
        <v>515129.47</v>
      </c>
      <c r="M1212">
        <v>13417.6</v>
      </c>
      <c r="N1212">
        <v>31</v>
      </c>
      <c r="O1212">
        <v>272800</v>
      </c>
      <c r="P1212">
        <v>7181.18</v>
      </c>
      <c r="Q1212">
        <v>0</v>
      </c>
      <c r="R1212">
        <v>0</v>
      </c>
      <c r="S1212">
        <v>0.004</v>
      </c>
      <c r="T1212" t="s">
        <v>25</v>
      </c>
    </row>
    <row r="1213" spans="1:20" ht="15">
      <c r="A1213" t="s">
        <v>19</v>
      </c>
      <c r="B1213" t="s">
        <v>20</v>
      </c>
      <c r="C1213" t="str">
        <f t="shared" si="18"/>
        <v>31-Dec-21</v>
      </c>
      <c r="D1213" t="s">
        <v>21</v>
      </c>
      <c r="E1213" t="s">
        <v>22</v>
      </c>
      <c r="F1213" t="str">
        <f>"B0166J7"</f>
        <v>B0166J7</v>
      </c>
      <c r="G1213" t="s">
        <v>1253</v>
      </c>
      <c r="I1213" t="s">
        <v>1237</v>
      </c>
      <c r="J1213">
        <v>0.026323987</v>
      </c>
      <c r="K1213">
        <v>3700</v>
      </c>
      <c r="L1213">
        <v>622961.03</v>
      </c>
      <c r="M1213">
        <v>16748.91</v>
      </c>
      <c r="N1213">
        <v>141</v>
      </c>
      <c r="O1213">
        <v>521700</v>
      </c>
      <c r="P1213">
        <v>13733.22</v>
      </c>
      <c r="Q1213">
        <v>0</v>
      </c>
      <c r="R1213">
        <v>0</v>
      </c>
      <c r="S1213">
        <v>0.007</v>
      </c>
      <c r="T1213" t="s">
        <v>25</v>
      </c>
    </row>
    <row r="1214" spans="1:20" ht="15">
      <c r="A1214" t="s">
        <v>19</v>
      </c>
      <c r="B1214" t="s">
        <v>20</v>
      </c>
      <c r="C1214" t="str">
        <f t="shared" si="18"/>
        <v>31-Dec-21</v>
      </c>
      <c r="D1214" t="s">
        <v>21</v>
      </c>
      <c r="E1214" t="s">
        <v>22</v>
      </c>
      <c r="F1214" t="str">
        <f>"B08YDF9"</f>
        <v>B08YDF9</v>
      </c>
      <c r="G1214" t="s">
        <v>1254</v>
      </c>
      <c r="I1214" t="s">
        <v>1237</v>
      </c>
      <c r="J1214">
        <v>0.026323987</v>
      </c>
      <c r="K1214">
        <v>62000</v>
      </c>
      <c r="L1214">
        <v>2479843.35</v>
      </c>
      <c r="M1214">
        <v>56343.02</v>
      </c>
      <c r="N1214">
        <v>59</v>
      </c>
      <c r="O1214">
        <v>3658000</v>
      </c>
      <c r="P1214">
        <v>96293.15</v>
      </c>
      <c r="Q1214">
        <v>0</v>
      </c>
      <c r="R1214">
        <v>0</v>
      </c>
      <c r="S1214">
        <v>0.048</v>
      </c>
      <c r="T1214" t="s">
        <v>25</v>
      </c>
    </row>
    <row r="1215" spans="1:20" ht="15">
      <c r="A1215" t="s">
        <v>19</v>
      </c>
      <c r="B1215" t="s">
        <v>20</v>
      </c>
      <c r="C1215" t="str">
        <f t="shared" si="18"/>
        <v>31-Dec-21</v>
      </c>
      <c r="D1215" t="s">
        <v>21</v>
      </c>
      <c r="E1215" t="s">
        <v>22</v>
      </c>
      <c r="F1215" t="str">
        <f>"B08YDH1"</f>
        <v>B08YDH1</v>
      </c>
      <c r="G1215" t="s">
        <v>1255</v>
      </c>
      <c r="I1215" t="s">
        <v>1237</v>
      </c>
      <c r="J1215">
        <v>0.026323987</v>
      </c>
      <c r="K1215">
        <v>112826</v>
      </c>
      <c r="L1215">
        <v>7025196.44</v>
      </c>
      <c r="M1215">
        <v>192297.78</v>
      </c>
      <c r="N1215">
        <v>59</v>
      </c>
      <c r="O1215">
        <v>6656734</v>
      </c>
      <c r="P1215">
        <v>175231.78</v>
      </c>
      <c r="Q1215">
        <v>0</v>
      </c>
      <c r="R1215">
        <v>0</v>
      </c>
      <c r="S1215">
        <v>0.087</v>
      </c>
      <c r="T1215" t="s">
        <v>25</v>
      </c>
    </row>
    <row r="1216" spans="1:20" ht="15">
      <c r="A1216" t="s">
        <v>19</v>
      </c>
      <c r="B1216" t="s">
        <v>20</v>
      </c>
      <c r="C1216" t="str">
        <f t="shared" si="18"/>
        <v>31-Dec-21</v>
      </c>
      <c r="D1216" t="s">
        <v>21</v>
      </c>
      <c r="E1216" t="s">
        <v>22</v>
      </c>
      <c r="F1216" t="str">
        <f>"BSM67Z5"</f>
        <v>BSM67Z5</v>
      </c>
      <c r="G1216" t="s">
        <v>1256</v>
      </c>
      <c r="I1216" t="s">
        <v>1237</v>
      </c>
      <c r="J1216">
        <v>0.026323987</v>
      </c>
      <c r="K1216">
        <v>10100</v>
      </c>
      <c r="L1216">
        <v>1244504.3</v>
      </c>
      <c r="M1216">
        <v>33920.01</v>
      </c>
      <c r="N1216">
        <v>119.5</v>
      </c>
      <c r="O1216">
        <v>1206950</v>
      </c>
      <c r="P1216">
        <v>31771.74</v>
      </c>
      <c r="Q1216">
        <v>0</v>
      </c>
      <c r="R1216">
        <v>0</v>
      </c>
      <c r="S1216">
        <v>0.016</v>
      </c>
      <c r="T1216" t="s">
        <v>25</v>
      </c>
    </row>
    <row r="1217" spans="1:20" ht="15">
      <c r="A1217" t="s">
        <v>19</v>
      </c>
      <c r="B1217" t="s">
        <v>20</v>
      </c>
      <c r="C1217" t="str">
        <f t="shared" si="18"/>
        <v>31-Dec-21</v>
      </c>
      <c r="D1217" t="s">
        <v>21</v>
      </c>
      <c r="E1217" t="s">
        <v>22</v>
      </c>
      <c r="F1217" t="str">
        <f>"B6SR6J5"</f>
        <v>B6SR6J5</v>
      </c>
      <c r="G1217" t="s">
        <v>1257</v>
      </c>
      <c r="I1217" t="s">
        <v>1237</v>
      </c>
      <c r="J1217">
        <v>0.026323987</v>
      </c>
      <c r="K1217">
        <v>86606</v>
      </c>
      <c r="L1217">
        <v>4484814.49</v>
      </c>
      <c r="M1217">
        <v>112165.46</v>
      </c>
      <c r="N1217">
        <v>56.5</v>
      </c>
      <c r="O1217">
        <v>4893239</v>
      </c>
      <c r="P1217">
        <v>128809.56</v>
      </c>
      <c r="Q1217">
        <v>0</v>
      </c>
      <c r="R1217">
        <v>0</v>
      </c>
      <c r="S1217">
        <v>0.064</v>
      </c>
      <c r="T1217" t="s">
        <v>25</v>
      </c>
    </row>
    <row r="1218" spans="1:20" ht="15">
      <c r="A1218" t="s">
        <v>19</v>
      </c>
      <c r="B1218" t="s">
        <v>20</v>
      </c>
      <c r="C1218" t="str">
        <f aca="true" t="shared" si="19" ref="C1218:C1281">"31-Dec-21"</f>
        <v>31-Dec-21</v>
      </c>
      <c r="D1218" t="s">
        <v>21</v>
      </c>
      <c r="E1218" t="s">
        <v>22</v>
      </c>
      <c r="F1218" t="str">
        <f>"B013L15"</f>
        <v>B013L15</v>
      </c>
      <c r="G1218" t="s">
        <v>1258</v>
      </c>
      <c r="I1218" t="s">
        <v>1237</v>
      </c>
      <c r="J1218">
        <v>0.026323987</v>
      </c>
      <c r="K1218">
        <v>10700</v>
      </c>
      <c r="L1218">
        <v>603943.57</v>
      </c>
      <c r="M1218">
        <v>17418.42</v>
      </c>
      <c r="N1218">
        <v>56.5</v>
      </c>
      <c r="O1218">
        <v>604550</v>
      </c>
      <c r="P1218">
        <v>15914.17</v>
      </c>
      <c r="Q1218">
        <v>0</v>
      </c>
      <c r="R1218">
        <v>0</v>
      </c>
      <c r="S1218">
        <v>0.008</v>
      </c>
      <c r="T1218" t="s">
        <v>25</v>
      </c>
    </row>
    <row r="1219" spans="1:20" ht="15">
      <c r="A1219" t="s">
        <v>19</v>
      </c>
      <c r="B1219" t="s">
        <v>20</v>
      </c>
      <c r="C1219" t="str">
        <f t="shared" si="19"/>
        <v>31-Dec-21</v>
      </c>
      <c r="D1219" t="s">
        <v>21</v>
      </c>
      <c r="E1219" t="s">
        <v>22</v>
      </c>
      <c r="F1219" t="str">
        <f>"BKV24W4"</f>
        <v>BKV24W4</v>
      </c>
      <c r="G1219" t="s">
        <v>1259</v>
      </c>
      <c r="I1219" t="s">
        <v>1237</v>
      </c>
      <c r="J1219">
        <v>0.026323987</v>
      </c>
      <c r="K1219">
        <v>88731</v>
      </c>
      <c r="L1219">
        <v>2524001.15</v>
      </c>
      <c r="M1219">
        <v>68744.03</v>
      </c>
      <c r="N1219">
        <v>32</v>
      </c>
      <c r="O1219">
        <v>2839392</v>
      </c>
      <c r="P1219">
        <v>74744.12</v>
      </c>
      <c r="Q1219">
        <v>0</v>
      </c>
      <c r="R1219">
        <v>0</v>
      </c>
      <c r="S1219">
        <v>0.037</v>
      </c>
      <c r="T1219" t="s">
        <v>25</v>
      </c>
    </row>
    <row r="1220" spans="1:20" ht="15">
      <c r="A1220" t="s">
        <v>19</v>
      </c>
      <c r="B1220" t="s">
        <v>20</v>
      </c>
      <c r="C1220" t="str">
        <f t="shared" si="19"/>
        <v>31-Dec-21</v>
      </c>
      <c r="D1220" t="s">
        <v>21</v>
      </c>
      <c r="E1220" t="s">
        <v>22</v>
      </c>
      <c r="F1220" t="str">
        <f>"B5L2DG6"</f>
        <v>B5L2DG6</v>
      </c>
      <c r="G1220" t="s">
        <v>1260</v>
      </c>
      <c r="I1220" t="s">
        <v>1237</v>
      </c>
      <c r="J1220">
        <v>0.026323987</v>
      </c>
      <c r="K1220">
        <v>119550</v>
      </c>
      <c r="L1220">
        <v>3238065.4</v>
      </c>
      <c r="M1220">
        <v>77002.54</v>
      </c>
      <c r="N1220">
        <v>25.5</v>
      </c>
      <c r="O1220">
        <v>3048525</v>
      </c>
      <c r="P1220">
        <v>80249.33</v>
      </c>
      <c r="Q1220">
        <v>0</v>
      </c>
      <c r="R1220">
        <v>0</v>
      </c>
      <c r="S1220">
        <v>0.04</v>
      </c>
      <c r="T1220" t="s">
        <v>25</v>
      </c>
    </row>
    <row r="1221" spans="1:20" ht="15">
      <c r="A1221" t="s">
        <v>19</v>
      </c>
      <c r="B1221" t="s">
        <v>20</v>
      </c>
      <c r="C1221" t="str">
        <f t="shared" si="19"/>
        <v>31-Dec-21</v>
      </c>
      <c r="D1221" t="s">
        <v>21</v>
      </c>
      <c r="E1221" t="s">
        <v>22</v>
      </c>
      <c r="F1221" t="str">
        <f>"6418931"</f>
        <v>6418931</v>
      </c>
      <c r="G1221" t="s">
        <v>1261</v>
      </c>
      <c r="I1221" t="s">
        <v>1237</v>
      </c>
      <c r="J1221">
        <v>0.026323987</v>
      </c>
      <c r="K1221">
        <v>9699</v>
      </c>
      <c r="L1221">
        <v>872740.46</v>
      </c>
      <c r="M1221">
        <v>24389.9</v>
      </c>
      <c r="N1221">
        <v>412</v>
      </c>
      <c r="O1221">
        <v>3995988</v>
      </c>
      <c r="P1221">
        <v>105190.34</v>
      </c>
      <c r="Q1221">
        <v>0</v>
      </c>
      <c r="R1221">
        <v>0</v>
      </c>
      <c r="S1221">
        <v>0.052</v>
      </c>
      <c r="T1221" t="s">
        <v>25</v>
      </c>
    </row>
    <row r="1222" spans="1:20" ht="15">
      <c r="A1222" t="s">
        <v>19</v>
      </c>
      <c r="B1222" t="s">
        <v>20</v>
      </c>
      <c r="C1222" t="str">
        <f t="shared" si="19"/>
        <v>31-Dec-21</v>
      </c>
      <c r="D1222" t="s">
        <v>21</v>
      </c>
      <c r="E1222" t="s">
        <v>22</v>
      </c>
      <c r="F1222" t="str">
        <f>"BH6XVQ4"</f>
        <v>BH6XVQ4</v>
      </c>
      <c r="G1222" t="s">
        <v>1262</v>
      </c>
      <c r="I1222" t="s">
        <v>1237</v>
      </c>
      <c r="J1222">
        <v>0.026323987</v>
      </c>
      <c r="K1222">
        <v>195976</v>
      </c>
      <c r="L1222">
        <v>3063625.18</v>
      </c>
      <c r="M1222">
        <v>86388.81</v>
      </c>
      <c r="N1222">
        <v>13.9</v>
      </c>
      <c r="O1222">
        <v>2724066.4</v>
      </c>
      <c r="P1222">
        <v>71708.29</v>
      </c>
      <c r="Q1222">
        <v>0</v>
      </c>
      <c r="R1222">
        <v>0</v>
      </c>
      <c r="S1222">
        <v>0.036</v>
      </c>
      <c r="T1222" t="s">
        <v>25</v>
      </c>
    </row>
    <row r="1223" spans="1:20" ht="15">
      <c r="A1223" t="s">
        <v>19</v>
      </c>
      <c r="B1223" t="s">
        <v>20</v>
      </c>
      <c r="C1223" t="str">
        <f t="shared" si="19"/>
        <v>31-Dec-21</v>
      </c>
      <c r="D1223" t="s">
        <v>21</v>
      </c>
      <c r="E1223" t="s">
        <v>22</v>
      </c>
      <c r="F1223" t="str">
        <f>"6368553"</f>
        <v>6368553</v>
      </c>
      <c r="G1223" t="s">
        <v>1263</v>
      </c>
      <c r="I1223" t="s">
        <v>1237</v>
      </c>
      <c r="J1223">
        <v>0.026323987</v>
      </c>
      <c r="K1223">
        <v>9650</v>
      </c>
      <c r="L1223">
        <v>1584939.33</v>
      </c>
      <c r="M1223">
        <v>42506.68</v>
      </c>
      <c r="N1223">
        <v>175.5</v>
      </c>
      <c r="O1223">
        <v>1693575</v>
      </c>
      <c r="P1223">
        <v>44581.65</v>
      </c>
      <c r="Q1223">
        <v>0</v>
      </c>
      <c r="R1223">
        <v>0</v>
      </c>
      <c r="S1223">
        <v>0.022</v>
      </c>
      <c r="T1223" t="s">
        <v>25</v>
      </c>
    </row>
    <row r="1224" spans="1:20" ht="15">
      <c r="A1224" t="s">
        <v>19</v>
      </c>
      <c r="B1224" t="s">
        <v>20</v>
      </c>
      <c r="C1224" t="str">
        <f t="shared" si="19"/>
        <v>31-Dec-21</v>
      </c>
      <c r="D1224" t="s">
        <v>21</v>
      </c>
      <c r="E1224" t="s">
        <v>22</v>
      </c>
      <c r="F1224" t="str">
        <f>"B9L4K92"</f>
        <v>B9L4K92</v>
      </c>
      <c r="G1224" t="s">
        <v>1264</v>
      </c>
      <c r="I1224" t="s">
        <v>1237</v>
      </c>
      <c r="J1224">
        <v>0.026323987</v>
      </c>
      <c r="K1224">
        <v>61700</v>
      </c>
      <c r="L1224">
        <v>2392690.13</v>
      </c>
      <c r="M1224">
        <v>62051.47</v>
      </c>
      <c r="N1224">
        <v>96</v>
      </c>
      <c r="O1224">
        <v>5923200</v>
      </c>
      <c r="P1224">
        <v>155922.24</v>
      </c>
      <c r="Q1224">
        <v>0</v>
      </c>
      <c r="R1224">
        <v>0</v>
      </c>
      <c r="S1224">
        <v>0.077</v>
      </c>
      <c r="T1224" t="s">
        <v>25</v>
      </c>
    </row>
    <row r="1225" spans="1:20" ht="15">
      <c r="A1225" t="s">
        <v>19</v>
      </c>
      <c r="B1225" t="s">
        <v>20</v>
      </c>
      <c r="C1225" t="str">
        <f t="shared" si="19"/>
        <v>31-Dec-21</v>
      </c>
      <c r="D1225" t="s">
        <v>21</v>
      </c>
      <c r="E1225" t="s">
        <v>22</v>
      </c>
      <c r="F1225" t="str">
        <f>"BWX43V4"</f>
        <v>BWX43V4</v>
      </c>
      <c r="G1225" t="s">
        <v>1265</v>
      </c>
      <c r="I1225" t="s">
        <v>1237</v>
      </c>
      <c r="J1225">
        <v>0.026323987</v>
      </c>
      <c r="K1225">
        <v>24045</v>
      </c>
      <c r="L1225">
        <v>1512706.7</v>
      </c>
      <c r="M1225">
        <v>44580.65</v>
      </c>
      <c r="N1225">
        <v>88.75</v>
      </c>
      <c r="O1225">
        <v>2133993.75</v>
      </c>
      <c r="P1225">
        <v>56175.22</v>
      </c>
      <c r="Q1225">
        <v>0</v>
      </c>
      <c r="R1225">
        <v>0</v>
      </c>
      <c r="S1225">
        <v>0.028</v>
      </c>
      <c r="T1225" t="s">
        <v>25</v>
      </c>
    </row>
    <row r="1226" spans="1:20" ht="15">
      <c r="A1226" t="s">
        <v>19</v>
      </c>
      <c r="B1226" t="s">
        <v>20</v>
      </c>
      <c r="C1226" t="str">
        <f t="shared" si="19"/>
        <v>31-Dec-21</v>
      </c>
      <c r="D1226" t="s">
        <v>21</v>
      </c>
      <c r="E1226" t="s">
        <v>22</v>
      </c>
      <c r="F1226" t="str">
        <f>"BFN4H35"</f>
        <v>BFN4H35</v>
      </c>
      <c r="G1226" t="s">
        <v>1266</v>
      </c>
      <c r="I1226" t="s">
        <v>1237</v>
      </c>
      <c r="J1226">
        <v>0.026323987</v>
      </c>
      <c r="K1226">
        <v>122117</v>
      </c>
      <c r="L1226">
        <v>2067475.36</v>
      </c>
      <c r="M1226">
        <v>56059.1</v>
      </c>
      <c r="N1226">
        <v>45.75</v>
      </c>
      <c r="O1226">
        <v>5586852.75</v>
      </c>
      <c r="P1226">
        <v>147068.24</v>
      </c>
      <c r="Q1226">
        <v>0</v>
      </c>
      <c r="R1226">
        <v>0</v>
      </c>
      <c r="S1226">
        <v>0.073</v>
      </c>
      <c r="T1226" t="s">
        <v>25</v>
      </c>
    </row>
    <row r="1227" spans="1:20" ht="15">
      <c r="A1227" t="s">
        <v>19</v>
      </c>
      <c r="B1227" t="s">
        <v>20</v>
      </c>
      <c r="C1227" t="str">
        <f t="shared" si="19"/>
        <v>31-Dec-21</v>
      </c>
      <c r="D1227" t="s">
        <v>21</v>
      </c>
      <c r="E1227" t="s">
        <v>22</v>
      </c>
      <c r="F1227" t="str">
        <f>"6418555"</f>
        <v>6418555</v>
      </c>
      <c r="G1227" t="s">
        <v>1267</v>
      </c>
      <c r="I1227" t="s">
        <v>1237</v>
      </c>
      <c r="J1227">
        <v>0.026323987</v>
      </c>
      <c r="K1227">
        <v>208679</v>
      </c>
      <c r="L1227">
        <v>2409265.86</v>
      </c>
      <c r="M1227">
        <v>62740.02</v>
      </c>
      <c r="N1227">
        <v>14.5</v>
      </c>
      <c r="O1227">
        <v>3025845.5</v>
      </c>
      <c r="P1227">
        <v>79652.32</v>
      </c>
      <c r="Q1227">
        <v>0</v>
      </c>
      <c r="R1227">
        <v>0</v>
      </c>
      <c r="S1227">
        <v>0.039</v>
      </c>
      <c r="T1227" t="s">
        <v>25</v>
      </c>
    </row>
    <row r="1228" spans="1:20" ht="15">
      <c r="A1228" t="s">
        <v>19</v>
      </c>
      <c r="B1228" t="s">
        <v>20</v>
      </c>
      <c r="C1228" t="str">
        <f t="shared" si="19"/>
        <v>31-Dec-21</v>
      </c>
      <c r="D1228" t="s">
        <v>21</v>
      </c>
      <c r="E1228" t="s">
        <v>22</v>
      </c>
      <c r="F1228" t="str">
        <f>"6890603"</f>
        <v>6890603</v>
      </c>
      <c r="G1228" t="s">
        <v>1268</v>
      </c>
      <c r="I1228" t="s">
        <v>1237</v>
      </c>
      <c r="J1228">
        <v>0.026323987</v>
      </c>
      <c r="K1228">
        <v>340600</v>
      </c>
      <c r="L1228">
        <v>1426188.61</v>
      </c>
      <c r="M1228">
        <v>34046.72</v>
      </c>
      <c r="N1228">
        <v>3.84</v>
      </c>
      <c r="O1228">
        <v>1307904</v>
      </c>
      <c r="P1228">
        <v>34429.25</v>
      </c>
      <c r="Q1228">
        <v>0</v>
      </c>
      <c r="R1228">
        <v>0</v>
      </c>
      <c r="S1228">
        <v>0.017</v>
      </c>
      <c r="T1228" t="s">
        <v>25</v>
      </c>
    </row>
    <row r="1229" spans="1:20" ht="15">
      <c r="A1229" t="s">
        <v>19</v>
      </c>
      <c r="B1229" t="s">
        <v>20</v>
      </c>
      <c r="C1229" t="str">
        <f t="shared" si="19"/>
        <v>31-Dec-21</v>
      </c>
      <c r="D1229" t="s">
        <v>21</v>
      </c>
      <c r="E1229" t="s">
        <v>22</v>
      </c>
      <c r="F1229" t="str">
        <f>"6366171"</f>
        <v>6366171</v>
      </c>
      <c r="G1229" t="s">
        <v>1269</v>
      </c>
      <c r="I1229" t="s">
        <v>1237</v>
      </c>
      <c r="J1229">
        <v>0.026323987</v>
      </c>
      <c r="K1229">
        <v>68300</v>
      </c>
      <c r="L1229">
        <v>146237.13</v>
      </c>
      <c r="M1229">
        <v>4061.13</v>
      </c>
      <c r="N1229">
        <v>3.84</v>
      </c>
      <c r="O1229">
        <v>262272</v>
      </c>
      <c r="P1229">
        <v>6904.04</v>
      </c>
      <c r="Q1229">
        <v>0</v>
      </c>
      <c r="R1229">
        <v>0</v>
      </c>
      <c r="S1229">
        <v>0.003</v>
      </c>
      <c r="T1229" t="s">
        <v>25</v>
      </c>
    </row>
    <row r="1230" spans="1:20" ht="15">
      <c r="A1230" t="s">
        <v>19</v>
      </c>
      <c r="B1230" t="s">
        <v>20</v>
      </c>
      <c r="C1230" t="str">
        <f t="shared" si="19"/>
        <v>31-Dec-21</v>
      </c>
      <c r="D1230" t="s">
        <v>21</v>
      </c>
      <c r="E1230" t="s">
        <v>22</v>
      </c>
      <c r="F1230" t="str">
        <f>"B5V4S12"</f>
        <v>B5V4S12</v>
      </c>
      <c r="G1230" t="s">
        <v>1270</v>
      </c>
      <c r="I1230" t="s">
        <v>1237</v>
      </c>
      <c r="J1230">
        <v>0.026323987</v>
      </c>
      <c r="K1230">
        <v>60900</v>
      </c>
      <c r="L1230">
        <v>2193351.55</v>
      </c>
      <c r="M1230">
        <v>55108.5</v>
      </c>
      <c r="N1230">
        <v>43.25</v>
      </c>
      <c r="O1230">
        <v>2633925</v>
      </c>
      <c r="P1230">
        <v>69335.41</v>
      </c>
      <c r="Q1230">
        <v>0</v>
      </c>
      <c r="R1230">
        <v>0</v>
      </c>
      <c r="S1230">
        <v>0.034</v>
      </c>
      <c r="T1230" t="s">
        <v>25</v>
      </c>
    </row>
    <row r="1231" spans="1:20" ht="15">
      <c r="A1231" t="s">
        <v>19</v>
      </c>
      <c r="B1231" t="s">
        <v>20</v>
      </c>
      <c r="C1231" t="str">
        <f t="shared" si="19"/>
        <v>31-Dec-21</v>
      </c>
      <c r="D1231" t="s">
        <v>21</v>
      </c>
      <c r="E1231" t="s">
        <v>22</v>
      </c>
      <c r="F1231" t="str">
        <f>"6397557"</f>
        <v>6397557</v>
      </c>
      <c r="G1231" t="s">
        <v>1271</v>
      </c>
      <c r="I1231" t="s">
        <v>1237</v>
      </c>
      <c r="J1231">
        <v>0.026323987</v>
      </c>
      <c r="K1231">
        <v>35800</v>
      </c>
      <c r="L1231">
        <v>2857992.42</v>
      </c>
      <c r="M1231">
        <v>75353.54</v>
      </c>
      <c r="N1231">
        <v>80.25</v>
      </c>
      <c r="O1231">
        <v>2872950</v>
      </c>
      <c r="P1231">
        <v>75627.5</v>
      </c>
      <c r="Q1231">
        <v>0</v>
      </c>
      <c r="R1231">
        <v>0</v>
      </c>
      <c r="S1231">
        <v>0.037</v>
      </c>
      <c r="T1231" t="s">
        <v>25</v>
      </c>
    </row>
    <row r="1232" spans="1:20" ht="15">
      <c r="A1232" t="s">
        <v>19</v>
      </c>
      <c r="B1232" t="s">
        <v>20</v>
      </c>
      <c r="C1232" t="str">
        <f t="shared" si="19"/>
        <v>31-Dec-21</v>
      </c>
      <c r="D1232" t="s">
        <v>21</v>
      </c>
      <c r="E1232" t="s">
        <v>22</v>
      </c>
      <c r="F1232" t="str">
        <f>"6888794"</f>
        <v>6888794</v>
      </c>
      <c r="G1232" t="s">
        <v>1272</v>
      </c>
      <c r="I1232" t="s">
        <v>1237</v>
      </c>
      <c r="J1232">
        <v>0.026323987</v>
      </c>
      <c r="K1232">
        <v>41000</v>
      </c>
      <c r="L1232">
        <v>7512781.62</v>
      </c>
      <c r="M1232">
        <v>183839.63</v>
      </c>
      <c r="N1232">
        <v>141.5</v>
      </c>
      <c r="O1232">
        <v>5801500</v>
      </c>
      <c r="P1232">
        <v>152718.61</v>
      </c>
      <c r="Q1232">
        <v>0</v>
      </c>
      <c r="R1232">
        <v>0</v>
      </c>
      <c r="S1232">
        <v>0.076</v>
      </c>
      <c r="T1232" t="s">
        <v>25</v>
      </c>
    </row>
    <row r="1233" spans="1:20" ht="15">
      <c r="A1233" t="s">
        <v>19</v>
      </c>
      <c r="B1233" t="s">
        <v>20</v>
      </c>
      <c r="C1233" t="str">
        <f t="shared" si="19"/>
        <v>31-Dec-21</v>
      </c>
      <c r="D1233" t="s">
        <v>21</v>
      </c>
      <c r="E1233" t="s">
        <v>22</v>
      </c>
      <c r="F1233" t="str">
        <f>"6364766"</f>
        <v>6364766</v>
      </c>
      <c r="G1233" t="s">
        <v>1273</v>
      </c>
      <c r="I1233" t="s">
        <v>1237</v>
      </c>
      <c r="J1233">
        <v>0.026323987</v>
      </c>
      <c r="K1233">
        <v>12600</v>
      </c>
      <c r="L1233">
        <v>1478999.19</v>
      </c>
      <c r="M1233">
        <v>40801.81</v>
      </c>
      <c r="N1233">
        <v>142</v>
      </c>
      <c r="O1233">
        <v>1789200</v>
      </c>
      <c r="P1233">
        <v>47098.88</v>
      </c>
      <c r="Q1233">
        <v>0</v>
      </c>
      <c r="R1233">
        <v>0</v>
      </c>
      <c r="S1233">
        <v>0.023</v>
      </c>
      <c r="T1233" t="s">
        <v>25</v>
      </c>
    </row>
    <row r="1234" spans="1:20" ht="15">
      <c r="A1234" t="s">
        <v>19</v>
      </c>
      <c r="B1234" t="s">
        <v>20</v>
      </c>
      <c r="C1234" t="str">
        <f t="shared" si="19"/>
        <v>31-Dec-21</v>
      </c>
      <c r="D1234" t="s">
        <v>21</v>
      </c>
      <c r="E1234" t="s">
        <v>22</v>
      </c>
      <c r="F1234" t="str">
        <f>"6492838"</f>
        <v>6492838</v>
      </c>
      <c r="G1234" t="s">
        <v>1274</v>
      </c>
      <c r="I1234" t="s">
        <v>1237</v>
      </c>
      <c r="J1234">
        <v>0.026323987</v>
      </c>
      <c r="K1234">
        <v>90300</v>
      </c>
      <c r="L1234">
        <v>1717283.39</v>
      </c>
      <c r="M1234">
        <v>39225.11</v>
      </c>
      <c r="N1234">
        <v>13.2</v>
      </c>
      <c r="O1234">
        <v>1191960</v>
      </c>
      <c r="P1234">
        <v>31377.14</v>
      </c>
      <c r="Q1234">
        <v>0</v>
      </c>
      <c r="R1234">
        <v>0</v>
      </c>
      <c r="S1234">
        <v>0.016</v>
      </c>
      <c r="T1234" t="s">
        <v>25</v>
      </c>
    </row>
    <row r="1235" spans="1:20" ht="15">
      <c r="A1235" t="s">
        <v>19</v>
      </c>
      <c r="B1235" t="s">
        <v>20</v>
      </c>
      <c r="C1235" t="str">
        <f t="shared" si="19"/>
        <v>31-Dec-21</v>
      </c>
      <c r="D1235" t="s">
        <v>21</v>
      </c>
      <c r="E1235" t="s">
        <v>22</v>
      </c>
      <c r="F1235" t="str">
        <f>"6361466"</f>
        <v>6361466</v>
      </c>
      <c r="G1235" t="s">
        <v>1275</v>
      </c>
      <c r="I1235" t="s">
        <v>1237</v>
      </c>
      <c r="J1235">
        <v>0.026323987</v>
      </c>
      <c r="K1235">
        <v>84777</v>
      </c>
      <c r="L1235">
        <v>1555245.06</v>
      </c>
      <c r="M1235">
        <v>42962.97</v>
      </c>
      <c r="N1235">
        <v>13.2</v>
      </c>
      <c r="O1235">
        <v>1119056.4</v>
      </c>
      <c r="P1235">
        <v>29458.03</v>
      </c>
      <c r="Q1235">
        <v>0</v>
      </c>
      <c r="R1235">
        <v>0</v>
      </c>
      <c r="S1235">
        <v>0.015</v>
      </c>
      <c r="T1235" t="s">
        <v>25</v>
      </c>
    </row>
    <row r="1236" spans="1:20" ht="15">
      <c r="A1236" t="s">
        <v>19</v>
      </c>
      <c r="B1236" t="s">
        <v>20</v>
      </c>
      <c r="C1236" t="str">
        <f t="shared" si="19"/>
        <v>31-Dec-21</v>
      </c>
      <c r="D1236" t="s">
        <v>21</v>
      </c>
      <c r="E1236" t="s">
        <v>22</v>
      </c>
      <c r="F1236" t="str">
        <f>"6561330"</f>
        <v>6561330</v>
      </c>
      <c r="G1236" t="s">
        <v>1276</v>
      </c>
      <c r="I1236" t="s">
        <v>1237</v>
      </c>
      <c r="J1236">
        <v>0.026323987</v>
      </c>
      <c r="K1236">
        <v>51900</v>
      </c>
      <c r="L1236">
        <v>2141823.57</v>
      </c>
      <c r="M1236">
        <v>63269.69</v>
      </c>
      <c r="N1236">
        <v>59.25</v>
      </c>
      <c r="O1236">
        <v>3075075</v>
      </c>
      <c r="P1236">
        <v>80948.24</v>
      </c>
      <c r="Q1236">
        <v>0</v>
      </c>
      <c r="R1236">
        <v>0</v>
      </c>
      <c r="S1236">
        <v>0.04</v>
      </c>
      <c r="T1236" t="s">
        <v>25</v>
      </c>
    </row>
    <row r="1237" spans="1:20" ht="15">
      <c r="A1237" t="s">
        <v>19</v>
      </c>
      <c r="B1237" t="s">
        <v>20</v>
      </c>
      <c r="C1237" t="str">
        <f t="shared" si="19"/>
        <v>31-Dec-21</v>
      </c>
      <c r="D1237" t="s">
        <v>21</v>
      </c>
      <c r="E1237" t="s">
        <v>22</v>
      </c>
      <c r="F1237" t="str">
        <f>"6581941"</f>
        <v>6581941</v>
      </c>
      <c r="G1237" t="s">
        <v>1277</v>
      </c>
      <c r="I1237" t="s">
        <v>1237</v>
      </c>
      <c r="J1237">
        <v>0.026323987</v>
      </c>
      <c r="K1237">
        <v>242320</v>
      </c>
      <c r="L1237">
        <v>2346916.92</v>
      </c>
      <c r="M1237">
        <v>61815.25</v>
      </c>
      <c r="N1237">
        <v>8.8</v>
      </c>
      <c r="O1237">
        <v>2132416</v>
      </c>
      <c r="P1237">
        <v>56133.69</v>
      </c>
      <c r="Q1237">
        <v>0</v>
      </c>
      <c r="R1237">
        <v>0</v>
      </c>
      <c r="S1237">
        <v>0.028</v>
      </c>
      <c r="T1237" t="s">
        <v>25</v>
      </c>
    </row>
    <row r="1238" spans="1:20" ht="15">
      <c r="A1238" t="s">
        <v>19</v>
      </c>
      <c r="B1238" t="s">
        <v>20</v>
      </c>
      <c r="C1238" t="str">
        <f t="shared" si="19"/>
        <v>31-Dec-21</v>
      </c>
      <c r="D1238" t="s">
        <v>21</v>
      </c>
      <c r="E1238" t="s">
        <v>22</v>
      </c>
      <c r="F1238" t="str">
        <f>"B018C28"</f>
        <v>B018C28</v>
      </c>
      <c r="G1238" t="s">
        <v>1278</v>
      </c>
      <c r="I1238" t="s">
        <v>1237</v>
      </c>
      <c r="J1238">
        <v>0.026323987</v>
      </c>
      <c r="K1238">
        <v>131790</v>
      </c>
      <c r="L1238">
        <v>4388618.4</v>
      </c>
      <c r="M1238">
        <v>114667.43</v>
      </c>
      <c r="N1238">
        <v>28.75</v>
      </c>
      <c r="O1238">
        <v>3788962.5</v>
      </c>
      <c r="P1238">
        <v>99740.6</v>
      </c>
      <c r="Q1238">
        <v>0</v>
      </c>
      <c r="R1238">
        <v>0</v>
      </c>
      <c r="S1238">
        <v>0.049</v>
      </c>
      <c r="T1238" t="s">
        <v>25</v>
      </c>
    </row>
    <row r="1239" spans="1:20" ht="15">
      <c r="A1239" t="s">
        <v>19</v>
      </c>
      <c r="B1239" t="s">
        <v>20</v>
      </c>
      <c r="C1239" t="str">
        <f t="shared" si="19"/>
        <v>31-Dec-21</v>
      </c>
      <c r="D1239" t="s">
        <v>21</v>
      </c>
      <c r="E1239" t="s">
        <v>22</v>
      </c>
      <c r="F1239" t="str">
        <f>"BSNLDQ2"</f>
        <v>BSNLDQ2</v>
      </c>
      <c r="G1239" t="s">
        <v>1279</v>
      </c>
      <c r="I1239" t="s">
        <v>1237</v>
      </c>
      <c r="J1239">
        <v>0.026323987</v>
      </c>
      <c r="K1239">
        <v>27100</v>
      </c>
      <c r="L1239">
        <v>1218274.41</v>
      </c>
      <c r="M1239">
        <v>33942.7</v>
      </c>
      <c r="N1239">
        <v>58.75</v>
      </c>
      <c r="O1239">
        <v>1592125</v>
      </c>
      <c r="P1239">
        <v>41911.08</v>
      </c>
      <c r="Q1239">
        <v>0</v>
      </c>
      <c r="R1239">
        <v>0</v>
      </c>
      <c r="S1239">
        <v>0.021</v>
      </c>
      <c r="T1239" t="s">
        <v>25</v>
      </c>
    </row>
    <row r="1240" spans="1:20" ht="15">
      <c r="A1240" t="s">
        <v>19</v>
      </c>
      <c r="B1240" t="s">
        <v>20</v>
      </c>
      <c r="C1240" t="str">
        <f t="shared" si="19"/>
        <v>31-Dec-21</v>
      </c>
      <c r="D1240" t="s">
        <v>21</v>
      </c>
      <c r="E1240" t="s">
        <v>22</v>
      </c>
      <c r="F1240" t="str">
        <f>"BGR9X35"</f>
        <v>BGR9X35</v>
      </c>
      <c r="G1240" t="s">
        <v>1280</v>
      </c>
      <c r="I1240" t="s">
        <v>1237</v>
      </c>
      <c r="J1240">
        <v>0.026323987</v>
      </c>
      <c r="K1240">
        <v>53000</v>
      </c>
      <c r="L1240">
        <v>1970082.32</v>
      </c>
      <c r="M1240">
        <v>57387.95</v>
      </c>
      <c r="N1240">
        <v>34.25</v>
      </c>
      <c r="O1240">
        <v>1815250</v>
      </c>
      <c r="P1240">
        <v>47784.62</v>
      </c>
      <c r="Q1240">
        <v>0</v>
      </c>
      <c r="R1240">
        <v>0</v>
      </c>
      <c r="S1240">
        <v>0.024</v>
      </c>
      <c r="T1240" t="s">
        <v>25</v>
      </c>
    </row>
    <row r="1241" spans="1:20" ht="15">
      <c r="A1241" t="s">
        <v>19</v>
      </c>
      <c r="B1241" t="s">
        <v>20</v>
      </c>
      <c r="C1241" t="str">
        <f t="shared" si="19"/>
        <v>31-Dec-21</v>
      </c>
      <c r="D1241" t="s">
        <v>21</v>
      </c>
      <c r="E1241" t="s">
        <v>22</v>
      </c>
      <c r="F1241" t="str">
        <f>"B1359J0"</f>
        <v>B1359J0</v>
      </c>
      <c r="G1241" t="s">
        <v>1281</v>
      </c>
      <c r="I1241" t="s">
        <v>1237</v>
      </c>
      <c r="J1241">
        <v>0.026323987</v>
      </c>
      <c r="K1241">
        <v>30947</v>
      </c>
      <c r="L1241">
        <v>4960941.73</v>
      </c>
      <c r="M1241">
        <v>112417.74</v>
      </c>
      <c r="N1241">
        <v>118</v>
      </c>
      <c r="O1241">
        <v>3651746</v>
      </c>
      <c r="P1241">
        <v>96128.52</v>
      </c>
      <c r="Q1241">
        <v>0</v>
      </c>
      <c r="R1241">
        <v>0</v>
      </c>
      <c r="S1241">
        <v>0.048</v>
      </c>
      <c r="T1241" t="s">
        <v>25</v>
      </c>
    </row>
    <row r="1242" spans="1:20" ht="15">
      <c r="A1242" t="s">
        <v>19</v>
      </c>
      <c r="B1242" t="s">
        <v>20</v>
      </c>
      <c r="C1242" t="str">
        <f t="shared" si="19"/>
        <v>31-Dec-21</v>
      </c>
      <c r="D1242" t="s">
        <v>21</v>
      </c>
      <c r="E1242" t="s">
        <v>22</v>
      </c>
      <c r="F1242" t="str">
        <f>"B1359L2"</f>
        <v>B1359L2</v>
      </c>
      <c r="G1242" t="s">
        <v>1282</v>
      </c>
      <c r="I1242" t="s">
        <v>1237</v>
      </c>
      <c r="J1242">
        <v>0.026323987</v>
      </c>
      <c r="K1242">
        <v>15850</v>
      </c>
      <c r="L1242">
        <v>1712061.24</v>
      </c>
      <c r="M1242">
        <v>46833.44</v>
      </c>
      <c r="N1242">
        <v>118</v>
      </c>
      <c r="O1242">
        <v>1870300</v>
      </c>
      <c r="P1242">
        <v>49233.75</v>
      </c>
      <c r="Q1242">
        <v>0</v>
      </c>
      <c r="R1242">
        <v>0</v>
      </c>
      <c r="S1242">
        <v>0.024</v>
      </c>
      <c r="T1242" t="s">
        <v>25</v>
      </c>
    </row>
    <row r="1243" spans="1:20" ht="15">
      <c r="A1243" t="s">
        <v>19</v>
      </c>
      <c r="B1243" t="s">
        <v>20</v>
      </c>
      <c r="C1243" t="str">
        <f t="shared" si="19"/>
        <v>31-Dec-21</v>
      </c>
      <c r="D1243" t="s">
        <v>21</v>
      </c>
      <c r="E1243" t="s">
        <v>22</v>
      </c>
      <c r="F1243" t="str">
        <f>"B736PF3"</f>
        <v>B736PF3</v>
      </c>
      <c r="G1243" t="s">
        <v>1283</v>
      </c>
      <c r="I1243" t="s">
        <v>1237</v>
      </c>
      <c r="J1243">
        <v>0.026323987</v>
      </c>
      <c r="K1243">
        <v>19090</v>
      </c>
      <c r="L1243">
        <v>1451381.8</v>
      </c>
      <c r="M1243">
        <v>33091.95</v>
      </c>
      <c r="N1243">
        <v>58.75</v>
      </c>
      <c r="O1243">
        <v>1121537.5</v>
      </c>
      <c r="P1243">
        <v>29523.34</v>
      </c>
      <c r="Q1243">
        <v>0</v>
      </c>
      <c r="R1243">
        <v>0</v>
      </c>
      <c r="S1243">
        <v>0.015</v>
      </c>
      <c r="T1243" t="s">
        <v>25</v>
      </c>
    </row>
    <row r="1244" spans="1:20" ht="15">
      <c r="A1244" t="s">
        <v>19</v>
      </c>
      <c r="B1244" t="s">
        <v>20</v>
      </c>
      <c r="C1244" t="str">
        <f t="shared" si="19"/>
        <v>31-Dec-21</v>
      </c>
      <c r="D1244" t="s">
        <v>21</v>
      </c>
      <c r="E1244" t="s">
        <v>22</v>
      </c>
      <c r="F1244" t="str">
        <f>"B73BGD3"</f>
        <v>B73BGD3</v>
      </c>
      <c r="G1244" t="s">
        <v>1284</v>
      </c>
      <c r="I1244" t="s">
        <v>1237</v>
      </c>
      <c r="J1244">
        <v>0.026323987</v>
      </c>
      <c r="K1244">
        <v>34000</v>
      </c>
      <c r="L1244">
        <v>2176053.61</v>
      </c>
      <c r="M1244">
        <v>57259.3</v>
      </c>
      <c r="N1244">
        <v>58.75</v>
      </c>
      <c r="O1244">
        <v>1997500</v>
      </c>
      <c r="P1244">
        <v>52582.16</v>
      </c>
      <c r="Q1244">
        <v>0</v>
      </c>
      <c r="R1244">
        <v>0</v>
      </c>
      <c r="S1244">
        <v>0.026</v>
      </c>
      <c r="T1244" t="s">
        <v>25</v>
      </c>
    </row>
    <row r="1245" spans="1:20" ht="15">
      <c r="A1245" t="s">
        <v>19</v>
      </c>
      <c r="B1245" t="s">
        <v>20</v>
      </c>
      <c r="C1245" t="str">
        <f t="shared" si="19"/>
        <v>31-Dec-21</v>
      </c>
      <c r="D1245" t="s">
        <v>21</v>
      </c>
      <c r="E1245" t="s">
        <v>22</v>
      </c>
      <c r="F1245" t="str">
        <f>"BN73M51"</f>
        <v>BN73M51</v>
      </c>
      <c r="G1245" t="s">
        <v>1285</v>
      </c>
      <c r="I1245" t="s">
        <v>1237</v>
      </c>
      <c r="J1245">
        <v>0.026323987</v>
      </c>
      <c r="K1245">
        <v>36600</v>
      </c>
      <c r="L1245">
        <v>1144231.52</v>
      </c>
      <c r="M1245">
        <v>30290.77</v>
      </c>
      <c r="N1245">
        <v>27</v>
      </c>
      <c r="O1245">
        <v>988200</v>
      </c>
      <c r="P1245">
        <v>26013.36</v>
      </c>
      <c r="Q1245">
        <v>0</v>
      </c>
      <c r="R1245">
        <v>0</v>
      </c>
      <c r="S1245">
        <v>0.013</v>
      </c>
      <c r="T1245" t="s">
        <v>25</v>
      </c>
    </row>
    <row r="1246" spans="1:20" ht="15">
      <c r="A1246" t="s">
        <v>19</v>
      </c>
      <c r="B1246" t="s">
        <v>20</v>
      </c>
      <c r="C1246" t="str">
        <f t="shared" si="19"/>
        <v>31-Dec-21</v>
      </c>
      <c r="D1246" t="s">
        <v>21</v>
      </c>
      <c r="E1246" t="s">
        <v>22</v>
      </c>
      <c r="F1246" t="str">
        <f>"BD0BDJ3"</f>
        <v>BD0BDJ3</v>
      </c>
      <c r="G1246" t="s">
        <v>1286</v>
      </c>
      <c r="I1246" t="s">
        <v>1237</v>
      </c>
      <c r="J1246">
        <v>0.026323987</v>
      </c>
      <c r="K1246">
        <v>49552</v>
      </c>
      <c r="L1246">
        <v>1526976.51</v>
      </c>
      <c r="M1246">
        <v>35736.71</v>
      </c>
      <c r="N1246">
        <v>38</v>
      </c>
      <c r="O1246">
        <v>1882976</v>
      </c>
      <c r="P1246">
        <v>49567.44</v>
      </c>
      <c r="Q1246">
        <v>0</v>
      </c>
      <c r="R1246">
        <v>0</v>
      </c>
      <c r="S1246">
        <v>0.025</v>
      </c>
      <c r="T1246" t="s">
        <v>25</v>
      </c>
    </row>
    <row r="1247" spans="1:20" ht="15">
      <c r="A1247" t="s">
        <v>19</v>
      </c>
      <c r="B1247" t="s">
        <v>20</v>
      </c>
      <c r="C1247" t="str">
        <f t="shared" si="19"/>
        <v>31-Dec-21</v>
      </c>
      <c r="D1247" t="s">
        <v>21</v>
      </c>
      <c r="E1247" t="s">
        <v>22</v>
      </c>
      <c r="F1247" t="str">
        <f>"6420408"</f>
        <v>6420408</v>
      </c>
      <c r="G1247" t="s">
        <v>1287</v>
      </c>
      <c r="I1247" t="s">
        <v>1237</v>
      </c>
      <c r="J1247">
        <v>0.026323987</v>
      </c>
      <c r="K1247">
        <v>426157</v>
      </c>
      <c r="L1247">
        <v>16603290.22</v>
      </c>
      <c r="M1247">
        <v>450630.38</v>
      </c>
      <c r="N1247">
        <v>38</v>
      </c>
      <c r="O1247">
        <v>16193966</v>
      </c>
      <c r="P1247">
        <v>426289.76</v>
      </c>
      <c r="Q1247">
        <v>0</v>
      </c>
      <c r="R1247">
        <v>0</v>
      </c>
      <c r="S1247">
        <v>0.211</v>
      </c>
      <c r="T1247" t="s">
        <v>25</v>
      </c>
    </row>
    <row r="1248" spans="1:20" ht="15">
      <c r="A1248" t="s">
        <v>19</v>
      </c>
      <c r="B1248" t="s">
        <v>20</v>
      </c>
      <c r="C1248" t="str">
        <f t="shared" si="19"/>
        <v>31-Dec-21</v>
      </c>
      <c r="D1248" t="s">
        <v>21</v>
      </c>
      <c r="E1248" t="s">
        <v>22</v>
      </c>
      <c r="F1248" t="str">
        <f>"BK1W1W3"</f>
        <v>BK1W1W3</v>
      </c>
      <c r="G1248" t="s">
        <v>1288</v>
      </c>
      <c r="I1248" t="s">
        <v>1237</v>
      </c>
      <c r="J1248">
        <v>0.026323987</v>
      </c>
      <c r="K1248">
        <v>26100</v>
      </c>
      <c r="L1248">
        <v>1415490.41</v>
      </c>
      <c r="M1248">
        <v>34707.87</v>
      </c>
      <c r="N1248">
        <v>45</v>
      </c>
      <c r="O1248">
        <v>1174500</v>
      </c>
      <c r="P1248">
        <v>30917.52</v>
      </c>
      <c r="Q1248">
        <v>0</v>
      </c>
      <c r="R1248">
        <v>0</v>
      </c>
      <c r="S1248">
        <v>0.015</v>
      </c>
      <c r="T1248" t="s">
        <v>25</v>
      </c>
    </row>
    <row r="1249" spans="1:20" ht="15">
      <c r="A1249" t="s">
        <v>19</v>
      </c>
      <c r="B1249" t="s">
        <v>20</v>
      </c>
      <c r="C1249" t="str">
        <f t="shared" si="19"/>
        <v>31-Dec-21</v>
      </c>
      <c r="D1249" t="s">
        <v>21</v>
      </c>
      <c r="E1249" t="s">
        <v>22</v>
      </c>
      <c r="F1249" t="str">
        <f>"BMC0T48"</f>
        <v>BMC0T48</v>
      </c>
      <c r="G1249" t="s">
        <v>1289</v>
      </c>
      <c r="I1249" t="s">
        <v>1237</v>
      </c>
      <c r="J1249">
        <v>0.026323987</v>
      </c>
      <c r="K1249">
        <v>14700</v>
      </c>
      <c r="L1249">
        <v>852958.94</v>
      </c>
      <c r="M1249">
        <v>22580.03</v>
      </c>
      <c r="N1249">
        <v>69.25</v>
      </c>
      <c r="O1249">
        <v>1017975</v>
      </c>
      <c r="P1249">
        <v>26797.16</v>
      </c>
      <c r="Q1249">
        <v>0</v>
      </c>
      <c r="R1249">
        <v>0</v>
      </c>
      <c r="S1249">
        <v>0.013</v>
      </c>
      <c r="T1249" t="s">
        <v>25</v>
      </c>
    </row>
    <row r="1250" spans="1:20" ht="15">
      <c r="A1250" t="s">
        <v>19</v>
      </c>
      <c r="B1250" t="s">
        <v>20</v>
      </c>
      <c r="C1250" t="str">
        <f t="shared" si="19"/>
        <v>31-Dec-21</v>
      </c>
      <c r="D1250" t="s">
        <v>21</v>
      </c>
      <c r="E1250" t="s">
        <v>22</v>
      </c>
      <c r="F1250" t="str">
        <f>"6609906"</f>
        <v>6609906</v>
      </c>
      <c r="G1250" t="s">
        <v>1290</v>
      </c>
      <c r="I1250" t="s">
        <v>1237</v>
      </c>
      <c r="J1250">
        <v>0.026323987</v>
      </c>
      <c r="K1250">
        <v>970</v>
      </c>
      <c r="L1250">
        <v>403565.56</v>
      </c>
      <c r="M1250">
        <v>9367.94</v>
      </c>
      <c r="N1250">
        <v>386</v>
      </c>
      <c r="O1250">
        <v>374420</v>
      </c>
      <c r="P1250">
        <v>9856.23</v>
      </c>
      <c r="Q1250">
        <v>0</v>
      </c>
      <c r="R1250">
        <v>0</v>
      </c>
      <c r="S1250">
        <v>0.005</v>
      </c>
      <c r="T1250" t="s">
        <v>25</v>
      </c>
    </row>
    <row r="1251" spans="1:20" ht="15">
      <c r="A1251" t="s">
        <v>19</v>
      </c>
      <c r="B1251" t="s">
        <v>20</v>
      </c>
      <c r="C1251" t="str">
        <f t="shared" si="19"/>
        <v>31-Dec-21</v>
      </c>
      <c r="D1251" t="s">
        <v>21</v>
      </c>
      <c r="E1251" t="s">
        <v>22</v>
      </c>
      <c r="F1251" t="str">
        <f>"6609928"</f>
        <v>6609928</v>
      </c>
      <c r="G1251" t="s">
        <v>1291</v>
      </c>
      <c r="I1251" t="s">
        <v>1237</v>
      </c>
      <c r="J1251">
        <v>0.026323987</v>
      </c>
      <c r="K1251">
        <v>26463</v>
      </c>
      <c r="L1251">
        <v>12619400.04</v>
      </c>
      <c r="M1251">
        <v>332579.3</v>
      </c>
      <c r="N1251">
        <v>386</v>
      </c>
      <c r="O1251">
        <v>10214718</v>
      </c>
      <c r="P1251">
        <v>268892.11</v>
      </c>
      <c r="Q1251">
        <v>0</v>
      </c>
      <c r="R1251">
        <v>0</v>
      </c>
      <c r="S1251">
        <v>0.133</v>
      </c>
      <c r="T1251" t="s">
        <v>25</v>
      </c>
    </row>
    <row r="1252" spans="1:20" ht="15">
      <c r="A1252" t="s">
        <v>19</v>
      </c>
      <c r="B1252" t="s">
        <v>20</v>
      </c>
      <c r="C1252" t="str">
        <f t="shared" si="19"/>
        <v>31-Dec-21</v>
      </c>
      <c r="D1252" t="s">
        <v>21</v>
      </c>
      <c r="E1252" t="s">
        <v>22</v>
      </c>
      <c r="F1252" t="str">
        <f>"6363194"</f>
        <v>6363194</v>
      </c>
      <c r="G1252" t="s">
        <v>1292</v>
      </c>
      <c r="I1252" t="s">
        <v>1237</v>
      </c>
      <c r="J1252">
        <v>0.026323987</v>
      </c>
      <c r="K1252">
        <v>5305</v>
      </c>
      <c r="L1252">
        <v>1211266.64</v>
      </c>
      <c r="M1252">
        <v>35533.83</v>
      </c>
      <c r="N1252">
        <v>156.5</v>
      </c>
      <c r="O1252">
        <v>830232.5</v>
      </c>
      <c r="P1252">
        <v>21855.03</v>
      </c>
      <c r="Q1252">
        <v>0</v>
      </c>
      <c r="R1252">
        <v>0</v>
      </c>
      <c r="S1252">
        <v>0.011</v>
      </c>
      <c r="T1252" t="s">
        <v>25</v>
      </c>
    </row>
    <row r="1253" spans="1:20" ht="15">
      <c r="A1253" t="s">
        <v>19</v>
      </c>
      <c r="B1253" t="s">
        <v>20</v>
      </c>
      <c r="C1253" t="str">
        <f t="shared" si="19"/>
        <v>31-Dec-21</v>
      </c>
      <c r="D1253" t="s">
        <v>21</v>
      </c>
      <c r="E1253" t="s">
        <v>22</v>
      </c>
      <c r="F1253" t="str">
        <f>"6889935"</f>
        <v>6889935</v>
      </c>
      <c r="G1253" t="s">
        <v>1293</v>
      </c>
      <c r="I1253" t="s">
        <v>1237</v>
      </c>
      <c r="J1253">
        <v>0.026323987</v>
      </c>
      <c r="K1253">
        <v>31000</v>
      </c>
      <c r="L1253">
        <v>4903838.07</v>
      </c>
      <c r="M1253">
        <v>111134.65</v>
      </c>
      <c r="N1253">
        <v>127</v>
      </c>
      <c r="O1253">
        <v>3937000</v>
      </c>
      <c r="P1253">
        <v>103637.54</v>
      </c>
      <c r="Q1253">
        <v>0</v>
      </c>
      <c r="R1253">
        <v>0</v>
      </c>
      <c r="S1253">
        <v>0.051</v>
      </c>
      <c r="T1253" t="s">
        <v>25</v>
      </c>
    </row>
    <row r="1254" spans="1:20" ht="15">
      <c r="A1254" t="s">
        <v>19</v>
      </c>
      <c r="B1254" t="s">
        <v>20</v>
      </c>
      <c r="C1254" t="str">
        <f t="shared" si="19"/>
        <v>31-Dec-21</v>
      </c>
      <c r="D1254" t="s">
        <v>21</v>
      </c>
      <c r="E1254" t="s">
        <v>22</v>
      </c>
      <c r="F1254" t="str">
        <f>"6363172"</f>
        <v>6363172</v>
      </c>
      <c r="G1254" t="s">
        <v>1294</v>
      </c>
      <c r="I1254" t="s">
        <v>1237</v>
      </c>
      <c r="J1254">
        <v>0.026323987</v>
      </c>
      <c r="K1254">
        <v>48771</v>
      </c>
      <c r="L1254">
        <v>6592390.06</v>
      </c>
      <c r="M1254">
        <v>178252.45</v>
      </c>
      <c r="N1254">
        <v>127</v>
      </c>
      <c r="O1254">
        <v>6193917</v>
      </c>
      <c r="P1254">
        <v>163048.59</v>
      </c>
      <c r="Q1254">
        <v>0</v>
      </c>
      <c r="R1254">
        <v>0</v>
      </c>
      <c r="S1254">
        <v>0.081</v>
      </c>
      <c r="T1254" t="s">
        <v>25</v>
      </c>
    </row>
    <row r="1255" spans="1:20" ht="15">
      <c r="A1255" t="s">
        <v>19</v>
      </c>
      <c r="B1255" t="s">
        <v>20</v>
      </c>
      <c r="C1255" t="str">
        <f t="shared" si="19"/>
        <v>31-Dec-21</v>
      </c>
      <c r="D1255" t="s">
        <v>21</v>
      </c>
      <c r="E1255" t="s">
        <v>22</v>
      </c>
      <c r="F1255" t="str">
        <f>"6361648"</f>
        <v>6361648</v>
      </c>
      <c r="G1255" t="s">
        <v>1295</v>
      </c>
      <c r="I1255" t="s">
        <v>1237</v>
      </c>
      <c r="J1255">
        <v>0.026323987</v>
      </c>
      <c r="K1255">
        <v>920</v>
      </c>
      <c r="L1255">
        <v>43752.21</v>
      </c>
      <c r="M1255">
        <v>1145.73</v>
      </c>
      <c r="N1255">
        <v>42</v>
      </c>
      <c r="O1255">
        <v>38640</v>
      </c>
      <c r="P1255">
        <v>1017.16</v>
      </c>
      <c r="Q1255">
        <v>0</v>
      </c>
      <c r="R1255">
        <v>0</v>
      </c>
      <c r="S1255">
        <v>0.001</v>
      </c>
      <c r="T1255" t="s">
        <v>25</v>
      </c>
    </row>
    <row r="1256" spans="1:20" ht="15">
      <c r="A1256" t="s">
        <v>19</v>
      </c>
      <c r="B1256" t="s">
        <v>20</v>
      </c>
      <c r="C1256" t="str">
        <f t="shared" si="19"/>
        <v>31-Dec-21</v>
      </c>
      <c r="D1256" t="s">
        <v>21</v>
      </c>
      <c r="E1256" t="s">
        <v>22</v>
      </c>
      <c r="F1256" t="str">
        <f>"BMGJNP0"</f>
        <v>BMGJNP0</v>
      </c>
      <c r="G1256" t="s">
        <v>1296</v>
      </c>
      <c r="I1256" t="s">
        <v>1237</v>
      </c>
      <c r="J1256">
        <v>0.026323987</v>
      </c>
      <c r="K1256">
        <v>37900</v>
      </c>
      <c r="L1256">
        <v>1402910</v>
      </c>
      <c r="M1256">
        <v>38388.2</v>
      </c>
      <c r="N1256">
        <v>30.25</v>
      </c>
      <c r="O1256">
        <v>1146475</v>
      </c>
      <c r="P1256">
        <v>30179.79</v>
      </c>
      <c r="Q1256">
        <v>0</v>
      </c>
      <c r="R1256">
        <v>0</v>
      </c>
      <c r="S1256">
        <v>0.015</v>
      </c>
      <c r="T1256" t="s">
        <v>25</v>
      </c>
    </row>
    <row r="1257" spans="1:20" ht="15">
      <c r="A1257" t="s">
        <v>19</v>
      </c>
      <c r="B1257" t="s">
        <v>20</v>
      </c>
      <c r="C1257" t="str">
        <f t="shared" si="19"/>
        <v>31-Dec-21</v>
      </c>
      <c r="D1257" t="s">
        <v>21</v>
      </c>
      <c r="E1257" t="s">
        <v>22</v>
      </c>
      <c r="F1257" t="str">
        <f>"BMHS7D2"</f>
        <v>BMHS7D2</v>
      </c>
      <c r="G1257" t="s">
        <v>1297</v>
      </c>
      <c r="I1257" t="s">
        <v>1237</v>
      </c>
      <c r="J1257">
        <v>0.026323987</v>
      </c>
      <c r="K1257">
        <v>22000</v>
      </c>
      <c r="L1257">
        <v>1694882.57</v>
      </c>
      <c r="M1257">
        <v>49392.49</v>
      </c>
      <c r="N1257">
        <v>61.75</v>
      </c>
      <c r="O1257">
        <v>1358500</v>
      </c>
      <c r="P1257">
        <v>35761.14</v>
      </c>
      <c r="Q1257">
        <v>0</v>
      </c>
      <c r="R1257">
        <v>0</v>
      </c>
      <c r="S1257">
        <v>0.018</v>
      </c>
      <c r="T1257" t="s">
        <v>25</v>
      </c>
    </row>
    <row r="1258" spans="1:20" ht="15">
      <c r="A1258" t="s">
        <v>19</v>
      </c>
      <c r="B1258" t="s">
        <v>20</v>
      </c>
      <c r="C1258" t="str">
        <f t="shared" si="19"/>
        <v>31-Dec-21</v>
      </c>
      <c r="D1258" t="s">
        <v>21</v>
      </c>
      <c r="E1258" t="s">
        <v>22</v>
      </c>
      <c r="F1258" t="str">
        <f>"6887887"</f>
        <v>6887887</v>
      </c>
      <c r="G1258" t="s">
        <v>1298</v>
      </c>
      <c r="I1258" t="s">
        <v>1237</v>
      </c>
      <c r="J1258">
        <v>0.026323987</v>
      </c>
      <c r="K1258">
        <v>600821</v>
      </c>
      <c r="L1258">
        <v>1184035.03</v>
      </c>
      <c r="M1258">
        <v>30694.41</v>
      </c>
      <c r="N1258">
        <v>1.47</v>
      </c>
      <c r="O1258">
        <v>883206.87</v>
      </c>
      <c r="P1258">
        <v>23249.53</v>
      </c>
      <c r="Q1258">
        <v>0</v>
      </c>
      <c r="R1258">
        <v>0</v>
      </c>
      <c r="S1258">
        <v>0.012</v>
      </c>
      <c r="T1258" t="s">
        <v>25</v>
      </c>
    </row>
    <row r="1259" spans="1:20" ht="15">
      <c r="A1259" t="s">
        <v>19</v>
      </c>
      <c r="B1259" t="s">
        <v>20</v>
      </c>
      <c r="C1259" t="str">
        <f t="shared" si="19"/>
        <v>31-Dec-21</v>
      </c>
      <c r="D1259" t="s">
        <v>21</v>
      </c>
      <c r="E1259" t="s">
        <v>22</v>
      </c>
      <c r="F1259" t="str">
        <f>"6365145"</f>
        <v>6365145</v>
      </c>
      <c r="G1259" t="s">
        <v>1299</v>
      </c>
      <c r="I1259" t="s">
        <v>1237</v>
      </c>
      <c r="J1259">
        <v>0.026323987</v>
      </c>
      <c r="K1259">
        <v>369400</v>
      </c>
      <c r="L1259">
        <v>463648.37</v>
      </c>
      <c r="M1259">
        <v>13541.36</v>
      </c>
      <c r="N1259">
        <v>1.47</v>
      </c>
      <c r="O1259">
        <v>543018</v>
      </c>
      <c r="P1259">
        <v>14294.4</v>
      </c>
      <c r="Q1259">
        <v>0</v>
      </c>
      <c r="R1259">
        <v>0</v>
      </c>
      <c r="S1259">
        <v>0.007</v>
      </c>
      <c r="T1259" t="s">
        <v>25</v>
      </c>
    </row>
    <row r="1260" spans="1:20" ht="15">
      <c r="A1260" t="s">
        <v>19</v>
      </c>
      <c r="B1260" t="s">
        <v>20</v>
      </c>
      <c r="C1260" t="str">
        <f t="shared" si="19"/>
        <v>31-Dec-21</v>
      </c>
      <c r="D1260" t="s">
        <v>21</v>
      </c>
      <c r="E1260" t="s">
        <v>22</v>
      </c>
      <c r="F1260" t="str">
        <f>"B0305J0"</f>
        <v>B0305J0</v>
      </c>
      <c r="G1260" t="s">
        <v>1300</v>
      </c>
      <c r="I1260" t="s">
        <v>1237</v>
      </c>
      <c r="J1260">
        <v>0.026323987</v>
      </c>
      <c r="K1260">
        <v>6200</v>
      </c>
      <c r="L1260">
        <v>380106.96</v>
      </c>
      <c r="M1260">
        <v>8698.62</v>
      </c>
      <c r="N1260">
        <v>49.5</v>
      </c>
      <c r="O1260">
        <v>306900</v>
      </c>
      <c r="P1260">
        <v>8078.83</v>
      </c>
      <c r="Q1260">
        <v>0</v>
      </c>
      <c r="R1260">
        <v>0</v>
      </c>
      <c r="S1260">
        <v>0.004</v>
      </c>
      <c r="T1260" t="s">
        <v>25</v>
      </c>
    </row>
    <row r="1261" spans="1:20" ht="15">
      <c r="A1261" t="s">
        <v>19</v>
      </c>
      <c r="B1261" t="s">
        <v>20</v>
      </c>
      <c r="C1261" t="str">
        <f t="shared" si="19"/>
        <v>31-Dec-21</v>
      </c>
      <c r="D1261" t="s">
        <v>21</v>
      </c>
      <c r="E1261" t="s">
        <v>22</v>
      </c>
      <c r="F1261" t="str">
        <f>"B030K62"</f>
        <v>B030K62</v>
      </c>
      <c r="G1261" t="s">
        <v>1301</v>
      </c>
      <c r="I1261" t="s">
        <v>1237</v>
      </c>
      <c r="J1261">
        <v>0.026323987</v>
      </c>
      <c r="K1261">
        <v>31700</v>
      </c>
      <c r="L1261">
        <v>1914913.42</v>
      </c>
      <c r="M1261">
        <v>50794.28</v>
      </c>
      <c r="N1261">
        <v>49.5</v>
      </c>
      <c r="O1261">
        <v>1569150</v>
      </c>
      <c r="P1261">
        <v>41306.28</v>
      </c>
      <c r="Q1261">
        <v>0</v>
      </c>
      <c r="R1261">
        <v>0</v>
      </c>
      <c r="S1261">
        <v>0.02</v>
      </c>
      <c r="T1261" t="s">
        <v>25</v>
      </c>
    </row>
    <row r="1262" spans="1:20" ht="15">
      <c r="A1262" t="s">
        <v>19</v>
      </c>
      <c r="B1262" t="s">
        <v>20</v>
      </c>
      <c r="C1262" t="str">
        <f t="shared" si="19"/>
        <v>31-Dec-21</v>
      </c>
      <c r="D1262" t="s">
        <v>21</v>
      </c>
      <c r="E1262" t="s">
        <v>22</v>
      </c>
      <c r="F1262" t="str">
        <f>"BYTBHT9"</f>
        <v>BYTBHT9</v>
      </c>
      <c r="G1262" t="s">
        <v>1302</v>
      </c>
      <c r="I1262" t="s">
        <v>1237</v>
      </c>
      <c r="J1262">
        <v>0.026323987</v>
      </c>
      <c r="K1262">
        <v>50600</v>
      </c>
      <c r="L1262">
        <v>831727.96</v>
      </c>
      <c r="M1262">
        <v>18619.38</v>
      </c>
      <c r="N1262">
        <v>19.5</v>
      </c>
      <c r="O1262">
        <v>986700</v>
      </c>
      <c r="P1262">
        <v>25973.88</v>
      </c>
      <c r="Q1262">
        <v>0</v>
      </c>
      <c r="R1262">
        <v>0</v>
      </c>
      <c r="S1262">
        <v>0.013</v>
      </c>
      <c r="T1262" t="s">
        <v>25</v>
      </c>
    </row>
    <row r="1263" spans="1:20" ht="15">
      <c r="A1263" t="s">
        <v>19</v>
      </c>
      <c r="B1263" t="s">
        <v>20</v>
      </c>
      <c r="C1263" t="str">
        <f t="shared" si="19"/>
        <v>31-Dec-21</v>
      </c>
      <c r="D1263" t="s">
        <v>21</v>
      </c>
      <c r="E1263" t="s">
        <v>22</v>
      </c>
      <c r="F1263" t="str">
        <f>"6422727"</f>
        <v>6422727</v>
      </c>
      <c r="G1263" t="s">
        <v>1303</v>
      </c>
      <c r="I1263" t="s">
        <v>1237</v>
      </c>
      <c r="J1263">
        <v>0.026323987</v>
      </c>
      <c r="K1263">
        <v>48500</v>
      </c>
      <c r="L1263">
        <v>808777.92</v>
      </c>
      <c r="M1263">
        <v>22924.05</v>
      </c>
      <c r="N1263">
        <v>19.5</v>
      </c>
      <c r="O1263">
        <v>945750</v>
      </c>
      <c r="P1263">
        <v>24895.91</v>
      </c>
      <c r="Q1263">
        <v>0</v>
      </c>
      <c r="R1263">
        <v>0</v>
      </c>
      <c r="S1263">
        <v>0.012</v>
      </c>
      <c r="T1263" t="s">
        <v>25</v>
      </c>
    </row>
    <row r="1264" spans="1:20" ht="15">
      <c r="A1264" t="s">
        <v>19</v>
      </c>
      <c r="B1264" t="s">
        <v>20</v>
      </c>
      <c r="C1264" t="str">
        <f t="shared" si="19"/>
        <v>31-Dec-21</v>
      </c>
      <c r="D1264" t="s">
        <v>21</v>
      </c>
      <c r="E1264" t="s">
        <v>22</v>
      </c>
      <c r="F1264" t="str">
        <f>"B1YWK08"</f>
        <v>B1YWK08</v>
      </c>
      <c r="G1264" t="s">
        <v>1304</v>
      </c>
      <c r="I1264" t="s">
        <v>1237</v>
      </c>
      <c r="J1264">
        <v>0.026323987</v>
      </c>
      <c r="K1264">
        <v>22200</v>
      </c>
      <c r="L1264">
        <v>2203113.62</v>
      </c>
      <c r="M1264">
        <v>53083.54</v>
      </c>
      <c r="N1264">
        <v>45.75</v>
      </c>
      <c r="O1264">
        <v>1015650</v>
      </c>
      <c r="P1264">
        <v>26735.96</v>
      </c>
      <c r="Q1264">
        <v>0</v>
      </c>
      <c r="R1264">
        <v>0</v>
      </c>
      <c r="S1264">
        <v>0.013</v>
      </c>
      <c r="T1264" t="s">
        <v>25</v>
      </c>
    </row>
    <row r="1265" spans="1:20" ht="15">
      <c r="A1265" t="s">
        <v>19</v>
      </c>
      <c r="B1265" t="s">
        <v>20</v>
      </c>
      <c r="C1265" t="str">
        <f t="shared" si="19"/>
        <v>31-Dec-21</v>
      </c>
      <c r="D1265" t="s">
        <v>21</v>
      </c>
      <c r="E1265" t="s">
        <v>22</v>
      </c>
      <c r="F1265" t="str">
        <f>"6363923"</f>
        <v>6363923</v>
      </c>
      <c r="G1265" t="s">
        <v>1305</v>
      </c>
      <c r="I1265" t="s">
        <v>1237</v>
      </c>
      <c r="J1265">
        <v>0.026323987</v>
      </c>
      <c r="K1265">
        <v>406078</v>
      </c>
      <c r="L1265">
        <v>2961264.1</v>
      </c>
      <c r="M1265">
        <v>73706.33</v>
      </c>
      <c r="N1265">
        <v>4.78</v>
      </c>
      <c r="O1265">
        <v>1941052.84</v>
      </c>
      <c r="P1265">
        <v>51096.25</v>
      </c>
      <c r="Q1265">
        <v>0</v>
      </c>
      <c r="R1265">
        <v>0</v>
      </c>
      <c r="S1265">
        <v>0.025</v>
      </c>
      <c r="T1265" t="s">
        <v>25</v>
      </c>
    </row>
    <row r="1266" spans="1:20" ht="15">
      <c r="A1266" t="s">
        <v>19</v>
      </c>
      <c r="B1266" t="s">
        <v>20</v>
      </c>
      <c r="C1266" t="str">
        <f t="shared" si="19"/>
        <v>31-Dec-21</v>
      </c>
      <c r="D1266" t="s">
        <v>21</v>
      </c>
      <c r="E1266" t="s">
        <v>39</v>
      </c>
      <c r="I1266" t="s">
        <v>1237</v>
      </c>
      <c r="J1266">
        <v>0.026323987</v>
      </c>
      <c r="K1266">
        <v>0</v>
      </c>
      <c r="L1266">
        <v>-56475.72</v>
      </c>
      <c r="M1266">
        <v>-1497.79</v>
      </c>
      <c r="N1266">
        <v>0</v>
      </c>
      <c r="O1266">
        <v>-56475.72</v>
      </c>
      <c r="P1266">
        <v>-1486.67</v>
      </c>
      <c r="Q1266">
        <v>0</v>
      </c>
      <c r="R1266">
        <v>0</v>
      </c>
      <c r="S1266">
        <v>-0.001</v>
      </c>
      <c r="T1266" t="s">
        <v>1306</v>
      </c>
    </row>
    <row r="1267" spans="1:20" ht="15">
      <c r="A1267" t="s">
        <v>19</v>
      </c>
      <c r="B1267" t="s">
        <v>20</v>
      </c>
      <c r="C1267" t="str">
        <f t="shared" si="19"/>
        <v>31-Dec-21</v>
      </c>
      <c r="D1267" t="s">
        <v>21</v>
      </c>
      <c r="E1267" t="s">
        <v>22</v>
      </c>
      <c r="F1267" t="str">
        <f>"B03MN70"</f>
        <v>B03MN70</v>
      </c>
      <c r="G1267" t="s">
        <v>1307</v>
      </c>
      <c r="I1267" t="s">
        <v>1308</v>
      </c>
      <c r="J1267">
        <v>0.066217572</v>
      </c>
      <c r="K1267">
        <v>48629</v>
      </c>
      <c r="L1267">
        <v>329976.98</v>
      </c>
      <c r="M1267">
        <v>92535.11</v>
      </c>
      <c r="N1267">
        <v>7.2</v>
      </c>
      <c r="O1267">
        <v>350128.8</v>
      </c>
      <c r="P1267">
        <v>23184.68</v>
      </c>
      <c r="Q1267">
        <v>0</v>
      </c>
      <c r="R1267">
        <v>0</v>
      </c>
      <c r="S1267">
        <v>0.011</v>
      </c>
      <c r="T1267" t="s">
        <v>25</v>
      </c>
    </row>
    <row r="1268" spans="1:20" ht="15">
      <c r="A1268" t="s">
        <v>19</v>
      </c>
      <c r="B1268" t="s">
        <v>20</v>
      </c>
      <c r="C1268" t="str">
        <f t="shared" si="19"/>
        <v>31-Dec-21</v>
      </c>
      <c r="D1268" t="s">
        <v>21</v>
      </c>
      <c r="E1268" t="s">
        <v>22</v>
      </c>
      <c r="F1268" t="str">
        <f>"B03MNV4"</f>
        <v>B03MNV4</v>
      </c>
      <c r="G1268" t="s">
        <v>1309</v>
      </c>
      <c r="I1268" t="s">
        <v>1308</v>
      </c>
      <c r="J1268">
        <v>0.066217572</v>
      </c>
      <c r="K1268">
        <v>6684</v>
      </c>
      <c r="L1268">
        <v>153912.76</v>
      </c>
      <c r="M1268">
        <v>54309.13</v>
      </c>
      <c r="N1268">
        <v>29.62</v>
      </c>
      <c r="O1268">
        <v>197980.08</v>
      </c>
      <c r="P1268">
        <v>13109.76</v>
      </c>
      <c r="Q1268">
        <v>0</v>
      </c>
      <c r="R1268">
        <v>0</v>
      </c>
      <c r="S1268">
        <v>0.006</v>
      </c>
      <c r="T1268" t="s">
        <v>25</v>
      </c>
    </row>
    <row r="1269" spans="1:20" ht="15">
      <c r="A1269" t="s">
        <v>19</v>
      </c>
      <c r="B1269" t="s">
        <v>20</v>
      </c>
      <c r="C1269" t="str">
        <f t="shared" si="19"/>
        <v>31-Dec-21</v>
      </c>
      <c r="D1269" t="s">
        <v>21</v>
      </c>
      <c r="E1269" t="s">
        <v>22</v>
      </c>
      <c r="F1269" t="str">
        <f>"B03MP18"</f>
        <v>B03MP18</v>
      </c>
      <c r="G1269" t="s">
        <v>1310</v>
      </c>
      <c r="I1269" t="s">
        <v>1308</v>
      </c>
      <c r="J1269">
        <v>0.066217572</v>
      </c>
      <c r="K1269">
        <v>5871</v>
      </c>
      <c r="L1269">
        <v>71697.16</v>
      </c>
      <c r="M1269">
        <v>25442.94</v>
      </c>
      <c r="N1269">
        <v>48.4</v>
      </c>
      <c r="O1269">
        <v>284156.4</v>
      </c>
      <c r="P1269">
        <v>18816.15</v>
      </c>
      <c r="Q1269">
        <v>0</v>
      </c>
      <c r="R1269">
        <v>0</v>
      </c>
      <c r="S1269">
        <v>0.009</v>
      </c>
      <c r="T1269" t="s">
        <v>25</v>
      </c>
    </row>
    <row r="1270" spans="1:20" ht="15">
      <c r="A1270" t="s">
        <v>19</v>
      </c>
      <c r="B1270" t="s">
        <v>20</v>
      </c>
      <c r="C1270" t="str">
        <f t="shared" si="19"/>
        <v>31-Dec-21</v>
      </c>
      <c r="D1270" t="s">
        <v>21</v>
      </c>
      <c r="E1270" t="s">
        <v>22</v>
      </c>
      <c r="F1270" t="str">
        <f>"B03MP41"</f>
        <v>B03MP41</v>
      </c>
      <c r="G1270" t="s">
        <v>1311</v>
      </c>
      <c r="I1270" t="s">
        <v>1308</v>
      </c>
      <c r="J1270">
        <v>0.066217572</v>
      </c>
      <c r="K1270">
        <v>23782</v>
      </c>
      <c r="L1270">
        <v>181148.91</v>
      </c>
      <c r="M1270">
        <v>28817.06</v>
      </c>
      <c r="N1270">
        <v>20.88</v>
      </c>
      <c r="O1270">
        <v>496568.16</v>
      </c>
      <c r="P1270">
        <v>32881.54</v>
      </c>
      <c r="Q1270">
        <v>0</v>
      </c>
      <c r="R1270">
        <v>0</v>
      </c>
      <c r="S1270">
        <v>0.016</v>
      </c>
      <c r="T1270" t="s">
        <v>25</v>
      </c>
    </row>
    <row r="1271" spans="1:20" ht="15">
      <c r="A1271" t="s">
        <v>19</v>
      </c>
      <c r="B1271" t="s">
        <v>20</v>
      </c>
      <c r="C1271" t="str">
        <f t="shared" si="19"/>
        <v>31-Dec-21</v>
      </c>
      <c r="D1271" t="s">
        <v>21</v>
      </c>
      <c r="E1271" t="s">
        <v>22</v>
      </c>
      <c r="F1271" t="str">
        <f>"B0D0006"</f>
        <v>B0D0006</v>
      </c>
      <c r="G1271" t="s">
        <v>1312</v>
      </c>
      <c r="I1271" t="s">
        <v>1308</v>
      </c>
      <c r="J1271">
        <v>0.066217572</v>
      </c>
      <c r="K1271">
        <v>12762</v>
      </c>
      <c r="L1271">
        <v>350812.71</v>
      </c>
      <c r="M1271">
        <v>99367.29</v>
      </c>
      <c r="N1271">
        <v>61.3</v>
      </c>
      <c r="O1271">
        <v>782310.6</v>
      </c>
      <c r="P1271">
        <v>51802.71</v>
      </c>
      <c r="Q1271">
        <v>0</v>
      </c>
      <c r="R1271">
        <v>0</v>
      </c>
      <c r="S1271">
        <v>0.026</v>
      </c>
      <c r="T1271" t="s">
        <v>25</v>
      </c>
    </row>
    <row r="1272" spans="1:20" ht="15">
      <c r="A1272" t="s">
        <v>19</v>
      </c>
      <c r="B1272" t="s">
        <v>20</v>
      </c>
      <c r="C1272" t="str">
        <f t="shared" si="19"/>
        <v>31-Dec-21</v>
      </c>
      <c r="D1272" t="s">
        <v>21</v>
      </c>
      <c r="E1272" t="s">
        <v>22</v>
      </c>
      <c r="F1272" t="str">
        <f>"B058ZV4"</f>
        <v>B058ZV4</v>
      </c>
      <c r="G1272" t="s">
        <v>1313</v>
      </c>
      <c r="I1272" t="s">
        <v>1308</v>
      </c>
      <c r="J1272">
        <v>0.066217572</v>
      </c>
      <c r="K1272">
        <v>2469</v>
      </c>
      <c r="L1272">
        <v>121539.73</v>
      </c>
      <c r="M1272">
        <v>42840.83</v>
      </c>
      <c r="N1272">
        <v>88.55</v>
      </c>
      <c r="O1272">
        <v>218629.95</v>
      </c>
      <c r="P1272">
        <v>14477.14</v>
      </c>
      <c r="Q1272">
        <v>0</v>
      </c>
      <c r="R1272">
        <v>0</v>
      </c>
      <c r="S1272">
        <v>0.007</v>
      </c>
      <c r="T1272" t="s">
        <v>25</v>
      </c>
    </row>
    <row r="1273" spans="1:20" ht="15">
      <c r="A1273" t="s">
        <v>19</v>
      </c>
      <c r="B1273" t="s">
        <v>20</v>
      </c>
      <c r="C1273" t="str">
        <f t="shared" si="19"/>
        <v>31-Dec-21</v>
      </c>
      <c r="D1273" t="s">
        <v>21</v>
      </c>
      <c r="E1273" t="s">
        <v>22</v>
      </c>
      <c r="F1273" t="str">
        <f>"B03MS64"</f>
        <v>B03MS64</v>
      </c>
      <c r="G1273" t="s">
        <v>1314</v>
      </c>
      <c r="I1273" t="s">
        <v>1308</v>
      </c>
      <c r="J1273">
        <v>0.066217572</v>
      </c>
      <c r="K1273">
        <v>30366</v>
      </c>
      <c r="L1273">
        <v>105987.62</v>
      </c>
      <c r="M1273">
        <v>34512.57</v>
      </c>
      <c r="N1273">
        <v>15.06</v>
      </c>
      <c r="O1273">
        <v>457311.96</v>
      </c>
      <c r="P1273">
        <v>30282.09</v>
      </c>
      <c r="Q1273">
        <v>0</v>
      </c>
      <c r="R1273">
        <v>0</v>
      </c>
      <c r="S1273">
        <v>0.015</v>
      </c>
      <c r="T1273" t="s">
        <v>25</v>
      </c>
    </row>
    <row r="1274" spans="1:20" ht="15">
      <c r="A1274" t="s">
        <v>19</v>
      </c>
      <c r="B1274" t="s">
        <v>20</v>
      </c>
      <c r="C1274" t="str">
        <f t="shared" si="19"/>
        <v>31-Dec-21</v>
      </c>
      <c r="D1274" t="s">
        <v>21</v>
      </c>
      <c r="E1274" t="s">
        <v>22</v>
      </c>
      <c r="F1274" t="str">
        <f>"B03MS97"</f>
        <v>B03MS97</v>
      </c>
      <c r="G1274" t="s">
        <v>1315</v>
      </c>
      <c r="I1274" t="s">
        <v>1308</v>
      </c>
      <c r="J1274">
        <v>0.066217572</v>
      </c>
      <c r="K1274">
        <v>49837</v>
      </c>
      <c r="L1274">
        <v>238580.56</v>
      </c>
      <c r="M1274">
        <v>57788.26</v>
      </c>
      <c r="N1274">
        <v>28.16</v>
      </c>
      <c r="O1274">
        <v>1403409.92</v>
      </c>
      <c r="P1274">
        <v>92930.4</v>
      </c>
      <c r="Q1274">
        <v>0</v>
      </c>
      <c r="R1274">
        <v>0</v>
      </c>
      <c r="S1274">
        <v>0.046</v>
      </c>
      <c r="T1274" t="s">
        <v>25</v>
      </c>
    </row>
    <row r="1275" spans="1:20" ht="15">
      <c r="A1275" t="s">
        <v>19</v>
      </c>
      <c r="B1275" t="s">
        <v>20</v>
      </c>
      <c r="C1275" t="str">
        <f t="shared" si="19"/>
        <v>31-Dec-21</v>
      </c>
      <c r="D1275" t="s">
        <v>21</v>
      </c>
      <c r="E1275" t="s">
        <v>22</v>
      </c>
      <c r="F1275" t="str">
        <f>"B03MSR5"</f>
        <v>B03MSR5</v>
      </c>
      <c r="G1275" t="s">
        <v>1316</v>
      </c>
      <c r="I1275" t="s">
        <v>1308</v>
      </c>
      <c r="J1275">
        <v>0.066217572</v>
      </c>
      <c r="K1275">
        <v>2337</v>
      </c>
      <c r="L1275">
        <v>99081.46</v>
      </c>
      <c r="M1275">
        <v>24744.57</v>
      </c>
      <c r="N1275">
        <v>238.1</v>
      </c>
      <c r="O1275">
        <v>556439.7</v>
      </c>
      <c r="P1275">
        <v>36846.09</v>
      </c>
      <c r="Q1275">
        <v>0</v>
      </c>
      <c r="R1275">
        <v>0</v>
      </c>
      <c r="S1275">
        <v>0.018</v>
      </c>
      <c r="T1275" t="s">
        <v>25</v>
      </c>
    </row>
    <row r="1276" spans="1:20" ht="15">
      <c r="A1276" t="s">
        <v>19</v>
      </c>
      <c r="B1276" t="s">
        <v>20</v>
      </c>
      <c r="C1276" t="str">
        <f t="shared" si="19"/>
        <v>31-Dec-21</v>
      </c>
      <c r="D1276" t="s">
        <v>21</v>
      </c>
      <c r="E1276" t="s">
        <v>22</v>
      </c>
      <c r="F1276" t="str">
        <f>"B03MTC7"</f>
        <v>B03MTC7</v>
      </c>
      <c r="G1276" t="s">
        <v>1317</v>
      </c>
      <c r="I1276" t="s">
        <v>1308</v>
      </c>
      <c r="J1276">
        <v>0.066217572</v>
      </c>
      <c r="K1276">
        <v>2884</v>
      </c>
      <c r="L1276">
        <v>223333.21</v>
      </c>
      <c r="M1276">
        <v>26000.94</v>
      </c>
      <c r="N1276">
        <v>76.85</v>
      </c>
      <c r="O1276">
        <v>221635.4</v>
      </c>
      <c r="P1276">
        <v>14676.16</v>
      </c>
      <c r="Q1276">
        <v>0</v>
      </c>
      <c r="R1276">
        <v>0</v>
      </c>
      <c r="S1276">
        <v>0.007</v>
      </c>
      <c r="T1276" t="s">
        <v>25</v>
      </c>
    </row>
    <row r="1277" spans="1:20" ht="15">
      <c r="A1277" t="s">
        <v>19</v>
      </c>
      <c r="B1277" t="s">
        <v>20</v>
      </c>
      <c r="C1277" t="str">
        <f t="shared" si="19"/>
        <v>31-Dec-21</v>
      </c>
      <c r="D1277" t="s">
        <v>21</v>
      </c>
      <c r="E1277" t="s">
        <v>22</v>
      </c>
      <c r="F1277" t="str">
        <f>"B03N0C7"</f>
        <v>B03N0C7</v>
      </c>
      <c r="G1277" t="s">
        <v>1318</v>
      </c>
      <c r="I1277" t="s">
        <v>1308</v>
      </c>
      <c r="J1277">
        <v>0.066217572</v>
      </c>
      <c r="K1277">
        <v>35028</v>
      </c>
      <c r="L1277">
        <v>351157.81</v>
      </c>
      <c r="M1277">
        <v>92783.39</v>
      </c>
      <c r="N1277">
        <v>13.23</v>
      </c>
      <c r="O1277">
        <v>463420.44</v>
      </c>
      <c r="P1277">
        <v>30686.58</v>
      </c>
      <c r="Q1277">
        <v>0</v>
      </c>
      <c r="R1277">
        <v>0</v>
      </c>
      <c r="S1277">
        <v>0.015</v>
      </c>
      <c r="T1277" t="s">
        <v>25</v>
      </c>
    </row>
    <row r="1278" spans="1:20" ht="15">
      <c r="A1278" t="s">
        <v>19</v>
      </c>
      <c r="B1278" t="s">
        <v>20</v>
      </c>
      <c r="C1278" t="str">
        <f t="shared" si="19"/>
        <v>31-Dec-21</v>
      </c>
      <c r="D1278" t="s">
        <v>21</v>
      </c>
      <c r="E1278" t="s">
        <v>22</v>
      </c>
      <c r="F1278" t="str">
        <f>"B03MVJ8"</f>
        <v>B03MVJ8</v>
      </c>
      <c r="G1278" t="s">
        <v>1319</v>
      </c>
      <c r="I1278" t="s">
        <v>1308</v>
      </c>
      <c r="J1278">
        <v>0.066217572</v>
      </c>
      <c r="K1278">
        <v>31621</v>
      </c>
      <c r="L1278">
        <v>439501.09</v>
      </c>
      <c r="M1278">
        <v>112258.49</v>
      </c>
      <c r="N1278">
        <v>28.38</v>
      </c>
      <c r="O1278">
        <v>897403.98</v>
      </c>
      <c r="P1278">
        <v>59423.91</v>
      </c>
      <c r="Q1278">
        <v>0</v>
      </c>
      <c r="R1278">
        <v>0</v>
      </c>
      <c r="S1278">
        <v>0.029</v>
      </c>
      <c r="T1278" t="s">
        <v>25</v>
      </c>
    </row>
    <row r="1279" spans="1:20" ht="15">
      <c r="A1279" t="s">
        <v>19</v>
      </c>
      <c r="B1279" t="s">
        <v>20</v>
      </c>
      <c r="C1279" t="str">
        <f t="shared" si="19"/>
        <v>31-Dec-21</v>
      </c>
      <c r="D1279" t="s">
        <v>21</v>
      </c>
      <c r="E1279" t="s">
        <v>22</v>
      </c>
      <c r="F1279" t="str">
        <f>"B3LP189"</f>
        <v>B3LP189</v>
      </c>
      <c r="G1279" t="s">
        <v>1320</v>
      </c>
      <c r="I1279" t="s">
        <v>1308</v>
      </c>
      <c r="J1279">
        <v>0.066217572</v>
      </c>
      <c r="K1279">
        <v>2462</v>
      </c>
      <c r="L1279">
        <v>139946.23</v>
      </c>
      <c r="M1279">
        <v>29384.49</v>
      </c>
      <c r="N1279">
        <v>115.7</v>
      </c>
      <c r="O1279">
        <v>284853.4</v>
      </c>
      <c r="P1279">
        <v>18862.3</v>
      </c>
      <c r="Q1279">
        <v>0</v>
      </c>
      <c r="R1279">
        <v>0</v>
      </c>
      <c r="S1279">
        <v>0.009</v>
      </c>
      <c r="T1279" t="s">
        <v>25</v>
      </c>
    </row>
    <row r="1280" spans="1:20" ht="15">
      <c r="A1280" t="s">
        <v>19</v>
      </c>
      <c r="B1280" t="s">
        <v>20</v>
      </c>
      <c r="C1280" t="str">
        <f t="shared" si="19"/>
        <v>31-Dec-21</v>
      </c>
      <c r="D1280" t="s">
        <v>21</v>
      </c>
      <c r="E1280" t="s">
        <v>22</v>
      </c>
      <c r="F1280" t="str">
        <f>"B03MWY0"</f>
        <v>B03MWY0</v>
      </c>
      <c r="G1280" t="s">
        <v>1321</v>
      </c>
      <c r="I1280" t="s">
        <v>1308</v>
      </c>
      <c r="J1280">
        <v>0.066217572</v>
      </c>
      <c r="K1280">
        <v>42050</v>
      </c>
      <c r="L1280">
        <v>58151.54</v>
      </c>
      <c r="M1280">
        <v>21002.17</v>
      </c>
      <c r="N1280">
        <v>7.8</v>
      </c>
      <c r="O1280">
        <v>327990</v>
      </c>
      <c r="P1280">
        <v>21718.7</v>
      </c>
      <c r="Q1280">
        <v>0</v>
      </c>
      <c r="R1280">
        <v>0</v>
      </c>
      <c r="S1280">
        <v>0.011</v>
      </c>
      <c r="T1280" t="s">
        <v>25</v>
      </c>
    </row>
    <row r="1281" spans="1:20" ht="15">
      <c r="A1281" t="s">
        <v>19</v>
      </c>
      <c r="B1281" t="s">
        <v>20</v>
      </c>
      <c r="C1281" t="str">
        <f t="shared" si="19"/>
        <v>31-Dec-21</v>
      </c>
      <c r="D1281" t="s">
        <v>21</v>
      </c>
      <c r="E1281" t="s">
        <v>22</v>
      </c>
      <c r="F1281" t="str">
        <f>"B03MXD6"</f>
        <v>B03MXD6</v>
      </c>
      <c r="G1281" t="s">
        <v>1322</v>
      </c>
      <c r="I1281" t="s">
        <v>1308</v>
      </c>
      <c r="J1281">
        <v>0.066217572</v>
      </c>
      <c r="K1281">
        <v>6068</v>
      </c>
      <c r="L1281">
        <v>194918.73</v>
      </c>
      <c r="M1281">
        <v>22692.86</v>
      </c>
      <c r="N1281">
        <v>52.85</v>
      </c>
      <c r="O1281">
        <v>320693.8</v>
      </c>
      <c r="P1281">
        <v>21235.56</v>
      </c>
      <c r="Q1281">
        <v>0</v>
      </c>
      <c r="R1281">
        <v>0</v>
      </c>
      <c r="S1281">
        <v>0.011</v>
      </c>
      <c r="T1281" t="s">
        <v>25</v>
      </c>
    </row>
    <row r="1282" spans="1:20" ht="15">
      <c r="A1282" t="s">
        <v>19</v>
      </c>
      <c r="B1282" t="s">
        <v>20</v>
      </c>
      <c r="C1282" t="str">
        <f aca="true" t="shared" si="20" ref="C1282:C1345">"31-Dec-21"</f>
        <v>31-Dec-21</v>
      </c>
      <c r="D1282" t="s">
        <v>21</v>
      </c>
      <c r="E1282" t="s">
        <v>22</v>
      </c>
      <c r="F1282" t="str">
        <f>"B1RMFT9"</f>
        <v>B1RMFT9</v>
      </c>
      <c r="G1282" t="s">
        <v>1323</v>
      </c>
      <c r="I1282" t="s">
        <v>1308</v>
      </c>
      <c r="J1282">
        <v>0.066217572</v>
      </c>
      <c r="K1282">
        <v>6474</v>
      </c>
      <c r="L1282">
        <v>125612.5</v>
      </c>
      <c r="M1282">
        <v>42020.19</v>
      </c>
      <c r="N1282">
        <v>32.7</v>
      </c>
      <c r="O1282">
        <v>211699.8</v>
      </c>
      <c r="P1282">
        <v>14018.25</v>
      </c>
      <c r="Q1282">
        <v>0</v>
      </c>
      <c r="R1282">
        <v>0</v>
      </c>
      <c r="S1282">
        <v>0.007</v>
      </c>
      <c r="T1282" t="s">
        <v>25</v>
      </c>
    </row>
    <row r="1283" spans="1:20" ht="15">
      <c r="A1283" t="s">
        <v>19</v>
      </c>
      <c r="B1283" t="s">
        <v>20</v>
      </c>
      <c r="C1283" t="str">
        <f t="shared" si="20"/>
        <v>31-Dec-21</v>
      </c>
      <c r="D1283" t="s">
        <v>21</v>
      </c>
      <c r="E1283" t="s">
        <v>22</v>
      </c>
      <c r="F1283" t="str">
        <f>"B03MY33"</f>
        <v>B03MY33</v>
      </c>
      <c r="G1283" t="s">
        <v>1324</v>
      </c>
      <c r="I1283" t="s">
        <v>1308</v>
      </c>
      <c r="J1283">
        <v>0.066217572</v>
      </c>
      <c r="K1283">
        <v>461</v>
      </c>
      <c r="L1283">
        <v>8868.55</v>
      </c>
      <c r="M1283">
        <v>2813.89</v>
      </c>
      <c r="N1283">
        <v>75.7</v>
      </c>
      <c r="O1283">
        <v>34897.7</v>
      </c>
      <c r="P1283">
        <v>2310.84</v>
      </c>
      <c r="Q1283">
        <v>0</v>
      </c>
      <c r="R1283">
        <v>0</v>
      </c>
      <c r="S1283">
        <v>0.001</v>
      </c>
      <c r="T1283" t="s">
        <v>25</v>
      </c>
    </row>
    <row r="1284" spans="1:20" ht="15">
      <c r="A1284" t="s">
        <v>19</v>
      </c>
      <c r="B1284" t="s">
        <v>20</v>
      </c>
      <c r="C1284" t="str">
        <f t="shared" si="20"/>
        <v>31-Dec-21</v>
      </c>
      <c r="D1284" t="s">
        <v>21</v>
      </c>
      <c r="E1284" t="s">
        <v>22</v>
      </c>
      <c r="F1284" t="str">
        <f>"B03MYK0"</f>
        <v>B03MYK0</v>
      </c>
      <c r="G1284" t="s">
        <v>1325</v>
      </c>
      <c r="I1284" t="s">
        <v>1308</v>
      </c>
      <c r="J1284">
        <v>0.066217572</v>
      </c>
      <c r="K1284">
        <v>17539</v>
      </c>
      <c r="L1284">
        <v>234784.85</v>
      </c>
      <c r="M1284">
        <v>47833.55</v>
      </c>
      <c r="N1284">
        <v>20.02</v>
      </c>
      <c r="O1284">
        <v>351130.78</v>
      </c>
      <c r="P1284">
        <v>23251.03</v>
      </c>
      <c r="Q1284">
        <v>0</v>
      </c>
      <c r="R1284">
        <v>0</v>
      </c>
      <c r="S1284">
        <v>0.012</v>
      </c>
      <c r="T1284" t="s">
        <v>25</v>
      </c>
    </row>
    <row r="1285" spans="1:20" ht="15">
      <c r="A1285" t="s">
        <v>19</v>
      </c>
      <c r="B1285" t="s">
        <v>20</v>
      </c>
      <c r="C1285" t="str">
        <f t="shared" si="20"/>
        <v>31-Dec-21</v>
      </c>
      <c r="D1285" t="s">
        <v>21</v>
      </c>
      <c r="E1285" t="s">
        <v>22</v>
      </c>
      <c r="F1285" t="str">
        <f>"B2RCGV5"</f>
        <v>B2RCGV5</v>
      </c>
      <c r="G1285" t="s">
        <v>1326</v>
      </c>
      <c r="I1285" t="s">
        <v>1308</v>
      </c>
      <c r="J1285">
        <v>0.066217572</v>
      </c>
      <c r="K1285">
        <v>25773</v>
      </c>
      <c r="L1285">
        <v>171812.38</v>
      </c>
      <c r="M1285">
        <v>56058.54</v>
      </c>
      <c r="N1285">
        <v>9.63</v>
      </c>
      <c r="O1285">
        <v>248193.99</v>
      </c>
      <c r="P1285">
        <v>16434.8</v>
      </c>
      <c r="Q1285">
        <v>0</v>
      </c>
      <c r="R1285">
        <v>0</v>
      </c>
      <c r="S1285">
        <v>0.008</v>
      </c>
      <c r="T1285" t="s">
        <v>25</v>
      </c>
    </row>
    <row r="1286" spans="1:20" ht="15">
      <c r="A1286" t="s">
        <v>19</v>
      </c>
      <c r="B1286" t="s">
        <v>20</v>
      </c>
      <c r="C1286" t="str">
        <f t="shared" si="20"/>
        <v>31-Dec-21</v>
      </c>
      <c r="D1286" t="s">
        <v>21</v>
      </c>
      <c r="E1286" t="s">
        <v>22</v>
      </c>
      <c r="F1286" t="str">
        <f>"B03MYN3"</f>
        <v>B03MYN3</v>
      </c>
      <c r="G1286" t="s">
        <v>1327</v>
      </c>
      <c r="I1286" t="s">
        <v>1308</v>
      </c>
      <c r="J1286">
        <v>0.066217572</v>
      </c>
      <c r="K1286">
        <v>29987</v>
      </c>
      <c r="L1286">
        <v>381164.14</v>
      </c>
      <c r="M1286">
        <v>93547.68</v>
      </c>
      <c r="N1286">
        <v>18.46</v>
      </c>
      <c r="O1286">
        <v>553560.02</v>
      </c>
      <c r="P1286">
        <v>36655.4</v>
      </c>
      <c r="Q1286">
        <v>0</v>
      </c>
      <c r="R1286">
        <v>0</v>
      </c>
      <c r="S1286">
        <v>0.018</v>
      </c>
      <c r="T1286" t="s">
        <v>25</v>
      </c>
    </row>
    <row r="1287" spans="1:20" ht="15">
      <c r="A1287" t="s">
        <v>19</v>
      </c>
      <c r="B1287" t="s">
        <v>20</v>
      </c>
      <c r="C1287" t="str">
        <f t="shared" si="20"/>
        <v>31-Dec-21</v>
      </c>
      <c r="D1287" t="s">
        <v>21</v>
      </c>
      <c r="E1287" t="s">
        <v>22</v>
      </c>
      <c r="F1287" t="str">
        <f>"B03MYP5"</f>
        <v>B03MYP5</v>
      </c>
      <c r="G1287" t="s">
        <v>1328</v>
      </c>
      <c r="I1287" t="s">
        <v>1308</v>
      </c>
      <c r="J1287">
        <v>0.066217572</v>
      </c>
      <c r="K1287">
        <v>76401</v>
      </c>
      <c r="L1287">
        <v>650486.7</v>
      </c>
      <c r="M1287">
        <v>205750.05</v>
      </c>
      <c r="N1287">
        <v>11.27</v>
      </c>
      <c r="O1287">
        <v>861039.27</v>
      </c>
      <c r="P1287">
        <v>57015.93</v>
      </c>
      <c r="Q1287">
        <v>0</v>
      </c>
      <c r="R1287">
        <v>0</v>
      </c>
      <c r="S1287">
        <v>0.028</v>
      </c>
      <c r="T1287" t="s">
        <v>25</v>
      </c>
    </row>
    <row r="1288" spans="1:20" ht="15">
      <c r="A1288" t="s">
        <v>19</v>
      </c>
      <c r="B1288" t="s">
        <v>20</v>
      </c>
      <c r="C1288" t="str">
        <f t="shared" si="20"/>
        <v>31-Dec-21</v>
      </c>
      <c r="D1288" t="s">
        <v>21</v>
      </c>
      <c r="E1288" t="s">
        <v>22</v>
      </c>
      <c r="F1288" t="str">
        <f>"B03MYS8"</f>
        <v>B03MYS8</v>
      </c>
      <c r="G1288" t="s">
        <v>1329</v>
      </c>
      <c r="I1288" t="s">
        <v>1308</v>
      </c>
      <c r="J1288">
        <v>0.066217572</v>
      </c>
      <c r="K1288">
        <v>55295</v>
      </c>
      <c r="L1288">
        <v>328399.4</v>
      </c>
      <c r="M1288">
        <v>84696.76</v>
      </c>
      <c r="N1288">
        <v>7.19</v>
      </c>
      <c r="O1288">
        <v>397571.05</v>
      </c>
      <c r="P1288">
        <v>26326.19</v>
      </c>
      <c r="Q1288">
        <v>0</v>
      </c>
      <c r="R1288">
        <v>0</v>
      </c>
      <c r="S1288">
        <v>0.013</v>
      </c>
      <c r="T1288" t="s">
        <v>25</v>
      </c>
    </row>
    <row r="1289" spans="1:20" ht="15">
      <c r="A1289" t="s">
        <v>19</v>
      </c>
      <c r="B1289" t="s">
        <v>20</v>
      </c>
      <c r="C1289" t="str">
        <f t="shared" si="20"/>
        <v>31-Dec-21</v>
      </c>
      <c r="D1289" t="s">
        <v>21</v>
      </c>
      <c r="E1289" t="s">
        <v>22</v>
      </c>
      <c r="F1289" t="str">
        <f>"B03MYT9"</f>
        <v>B03MYT9</v>
      </c>
      <c r="G1289" t="s">
        <v>1330</v>
      </c>
      <c r="I1289" t="s">
        <v>1308</v>
      </c>
      <c r="J1289">
        <v>0.066217572</v>
      </c>
      <c r="K1289">
        <v>4835</v>
      </c>
      <c r="L1289">
        <v>278046.51</v>
      </c>
      <c r="M1289">
        <v>78708.41</v>
      </c>
      <c r="N1289">
        <v>154.4</v>
      </c>
      <c r="O1289">
        <v>746524</v>
      </c>
      <c r="P1289">
        <v>49433.01</v>
      </c>
      <c r="Q1289">
        <v>0</v>
      </c>
      <c r="R1289">
        <v>0</v>
      </c>
      <c r="S1289">
        <v>0.025</v>
      </c>
      <c r="T1289" t="s">
        <v>25</v>
      </c>
    </row>
    <row r="1290" spans="1:20" ht="15">
      <c r="A1290" t="s">
        <v>19</v>
      </c>
      <c r="B1290" t="s">
        <v>20</v>
      </c>
      <c r="C1290" t="str">
        <f t="shared" si="20"/>
        <v>31-Dec-21</v>
      </c>
      <c r="D1290" t="s">
        <v>21</v>
      </c>
      <c r="E1290" t="s">
        <v>22</v>
      </c>
      <c r="F1290" t="str">
        <f>"B03MXR0"</f>
        <v>B03MXR0</v>
      </c>
      <c r="G1290" t="s">
        <v>1331</v>
      </c>
      <c r="I1290" t="s">
        <v>1308</v>
      </c>
      <c r="J1290">
        <v>0.066217572</v>
      </c>
      <c r="K1290">
        <v>51837</v>
      </c>
      <c r="L1290">
        <v>369688.06</v>
      </c>
      <c r="M1290">
        <v>44524.46</v>
      </c>
      <c r="N1290">
        <v>13.38</v>
      </c>
      <c r="O1290">
        <v>693579.06</v>
      </c>
      <c r="P1290">
        <v>45927.12</v>
      </c>
      <c r="Q1290">
        <v>0</v>
      </c>
      <c r="R1290">
        <v>0</v>
      </c>
      <c r="S1290">
        <v>0.023</v>
      </c>
      <c r="T1290" t="s">
        <v>25</v>
      </c>
    </row>
    <row r="1291" spans="1:20" ht="15">
      <c r="A1291" t="s">
        <v>19</v>
      </c>
      <c r="B1291" t="s">
        <v>20</v>
      </c>
      <c r="C1291" t="str">
        <f t="shared" si="20"/>
        <v>31-Dec-21</v>
      </c>
      <c r="D1291" t="s">
        <v>21</v>
      </c>
      <c r="E1291" t="s">
        <v>39</v>
      </c>
      <c r="I1291" t="s">
        <v>1308</v>
      </c>
      <c r="J1291">
        <v>0.066217572</v>
      </c>
      <c r="K1291">
        <v>0</v>
      </c>
      <c r="L1291">
        <v>57076.17</v>
      </c>
      <c r="M1291">
        <v>4329.56</v>
      </c>
      <c r="N1291">
        <v>0</v>
      </c>
      <c r="O1291">
        <v>57076.17</v>
      </c>
      <c r="P1291">
        <v>3779.45</v>
      </c>
      <c r="Q1291">
        <v>0</v>
      </c>
      <c r="R1291">
        <v>0</v>
      </c>
      <c r="S1291">
        <v>0.002</v>
      </c>
      <c r="T1291" t="s">
        <v>1332</v>
      </c>
    </row>
    <row r="1292" spans="1:20" ht="15">
      <c r="A1292" t="s">
        <v>19</v>
      </c>
      <c r="B1292" t="s">
        <v>20</v>
      </c>
      <c r="C1292" t="str">
        <f t="shared" si="20"/>
        <v>31-Dec-21</v>
      </c>
      <c r="D1292" t="s">
        <v>21</v>
      </c>
      <c r="E1292" t="s">
        <v>22</v>
      </c>
      <c r="F1292" t="str">
        <f>"BFXZDY1"</f>
        <v>BFXZDY1</v>
      </c>
      <c r="G1292" t="s">
        <v>1333</v>
      </c>
      <c r="I1292" t="s">
        <v>1334</v>
      </c>
      <c r="J1292">
        <v>0.031783453</v>
      </c>
      <c r="K1292">
        <v>104934</v>
      </c>
      <c r="L1292">
        <v>7214970.35</v>
      </c>
      <c r="M1292">
        <v>199468.18</v>
      </c>
      <c r="N1292">
        <v>106.5</v>
      </c>
      <c r="O1292">
        <v>11175471</v>
      </c>
      <c r="P1292">
        <v>355195.06</v>
      </c>
      <c r="Q1292">
        <v>0</v>
      </c>
      <c r="R1292">
        <v>0</v>
      </c>
      <c r="S1292">
        <v>0.176</v>
      </c>
      <c r="T1292" t="s">
        <v>25</v>
      </c>
    </row>
    <row r="1293" spans="1:20" ht="15">
      <c r="A1293" t="s">
        <v>19</v>
      </c>
      <c r="B1293" t="s">
        <v>20</v>
      </c>
      <c r="C1293" t="str">
        <f t="shared" si="20"/>
        <v>31-Dec-21</v>
      </c>
      <c r="D1293" t="s">
        <v>21</v>
      </c>
      <c r="E1293" t="s">
        <v>22</v>
      </c>
      <c r="F1293" t="str">
        <f>"B6ZZQ69"</f>
        <v>B6ZZQ69</v>
      </c>
      <c r="G1293" t="s">
        <v>1335</v>
      </c>
      <c r="I1293" t="s">
        <v>1334</v>
      </c>
      <c r="J1293">
        <v>0.031783453</v>
      </c>
      <c r="K1293">
        <v>1000</v>
      </c>
      <c r="L1293">
        <v>1531862.66</v>
      </c>
      <c r="M1293">
        <v>44905.35</v>
      </c>
      <c r="N1293">
        <v>1820</v>
      </c>
      <c r="O1293">
        <v>1820000</v>
      </c>
      <c r="P1293">
        <v>57845.88</v>
      </c>
      <c r="Q1293">
        <v>0</v>
      </c>
      <c r="R1293">
        <v>0</v>
      </c>
      <c r="S1293">
        <v>0.029</v>
      </c>
      <c r="T1293" t="s">
        <v>25</v>
      </c>
    </row>
    <row r="1294" spans="1:20" ht="15">
      <c r="A1294" t="s">
        <v>19</v>
      </c>
      <c r="B1294" t="s">
        <v>20</v>
      </c>
      <c r="C1294" t="str">
        <f t="shared" si="20"/>
        <v>31-Dec-21</v>
      </c>
      <c r="D1294" t="s">
        <v>21</v>
      </c>
      <c r="E1294" t="s">
        <v>22</v>
      </c>
      <c r="F1294" t="str">
        <f>"6288190"</f>
        <v>6288190</v>
      </c>
      <c r="G1294" t="s">
        <v>1336</v>
      </c>
      <c r="I1294" t="s">
        <v>1334</v>
      </c>
      <c r="J1294">
        <v>0.031783453</v>
      </c>
      <c r="K1294">
        <v>297000</v>
      </c>
      <c r="L1294">
        <v>3428860.73</v>
      </c>
      <c r="M1294">
        <v>97066.14</v>
      </c>
      <c r="N1294">
        <v>22.9</v>
      </c>
      <c r="O1294">
        <v>6801300</v>
      </c>
      <c r="P1294">
        <v>216168.8</v>
      </c>
      <c r="Q1294">
        <v>0</v>
      </c>
      <c r="R1294">
        <v>0</v>
      </c>
      <c r="S1294">
        <v>0.107</v>
      </c>
      <c r="T1294" t="s">
        <v>25</v>
      </c>
    </row>
    <row r="1295" spans="1:20" ht="15">
      <c r="A1295" t="s">
        <v>19</v>
      </c>
      <c r="B1295" t="s">
        <v>20</v>
      </c>
      <c r="C1295" t="str">
        <f t="shared" si="20"/>
        <v>31-Dec-21</v>
      </c>
      <c r="D1295" t="s">
        <v>21</v>
      </c>
      <c r="E1295" t="s">
        <v>22</v>
      </c>
      <c r="F1295" t="str">
        <f>"6005214"</f>
        <v>6005214</v>
      </c>
      <c r="G1295" t="s">
        <v>1337</v>
      </c>
      <c r="I1295" t="s">
        <v>1334</v>
      </c>
      <c r="J1295">
        <v>0.031783453</v>
      </c>
      <c r="K1295">
        <v>18000</v>
      </c>
      <c r="L1295">
        <v>3138949.28</v>
      </c>
      <c r="M1295">
        <v>94765.85</v>
      </c>
      <c r="N1295">
        <v>260</v>
      </c>
      <c r="O1295">
        <v>4680000</v>
      </c>
      <c r="P1295">
        <v>148746.56</v>
      </c>
      <c r="Q1295">
        <v>0</v>
      </c>
      <c r="R1295">
        <v>0</v>
      </c>
      <c r="S1295">
        <v>0.074</v>
      </c>
      <c r="T1295" t="s">
        <v>25</v>
      </c>
    </row>
    <row r="1296" spans="1:20" ht="15">
      <c r="A1296" t="s">
        <v>19</v>
      </c>
      <c r="B1296" t="s">
        <v>20</v>
      </c>
      <c r="C1296" t="str">
        <f t="shared" si="20"/>
        <v>31-Dec-21</v>
      </c>
      <c r="D1296" t="s">
        <v>21</v>
      </c>
      <c r="E1296" t="s">
        <v>22</v>
      </c>
      <c r="F1296" t="str">
        <f>"6005850"</f>
        <v>6005850</v>
      </c>
      <c r="G1296" t="s">
        <v>1338</v>
      </c>
      <c r="I1296" t="s">
        <v>1334</v>
      </c>
      <c r="J1296">
        <v>0.031783453</v>
      </c>
      <c r="K1296">
        <v>102610</v>
      </c>
      <c r="L1296">
        <v>1623626.93</v>
      </c>
      <c r="M1296">
        <v>44025.88</v>
      </c>
      <c r="N1296">
        <v>30.45</v>
      </c>
      <c r="O1296">
        <v>3124474.5</v>
      </c>
      <c r="P1296">
        <v>99306.59</v>
      </c>
      <c r="Q1296">
        <v>0</v>
      </c>
      <c r="R1296">
        <v>0</v>
      </c>
      <c r="S1296">
        <v>0.049</v>
      </c>
      <c r="T1296" t="s">
        <v>25</v>
      </c>
    </row>
    <row r="1297" spans="1:20" ht="15">
      <c r="A1297" t="s">
        <v>19</v>
      </c>
      <c r="B1297" t="s">
        <v>20</v>
      </c>
      <c r="C1297" t="str">
        <f t="shared" si="20"/>
        <v>31-Dec-21</v>
      </c>
      <c r="D1297" t="s">
        <v>21</v>
      </c>
      <c r="E1297" t="s">
        <v>22</v>
      </c>
      <c r="F1297" t="str">
        <f>"6202673"</f>
        <v>6202673</v>
      </c>
      <c r="G1297" t="s">
        <v>1339</v>
      </c>
      <c r="I1297" t="s">
        <v>1334</v>
      </c>
      <c r="J1297">
        <v>0.031783453</v>
      </c>
      <c r="K1297">
        <v>14129</v>
      </c>
      <c r="L1297">
        <v>2956912.02</v>
      </c>
      <c r="M1297">
        <v>83902.99</v>
      </c>
      <c r="N1297">
        <v>396.5</v>
      </c>
      <c r="O1297">
        <v>5602148.5</v>
      </c>
      <c r="P1297">
        <v>178055.62</v>
      </c>
      <c r="Q1297">
        <v>0</v>
      </c>
      <c r="R1297">
        <v>0</v>
      </c>
      <c r="S1297">
        <v>0.088</v>
      </c>
      <c r="T1297" t="s">
        <v>25</v>
      </c>
    </row>
    <row r="1298" spans="1:20" ht="15">
      <c r="A1298" t="s">
        <v>19</v>
      </c>
      <c r="B1298" t="s">
        <v>20</v>
      </c>
      <c r="C1298" t="str">
        <f t="shared" si="20"/>
        <v>31-Dec-21</v>
      </c>
      <c r="D1298" t="s">
        <v>21</v>
      </c>
      <c r="E1298" t="s">
        <v>22</v>
      </c>
      <c r="F1298" t="str">
        <f>"B52J816"</f>
        <v>B52J816</v>
      </c>
      <c r="G1298" t="s">
        <v>1340</v>
      </c>
      <c r="I1298" t="s">
        <v>1334</v>
      </c>
      <c r="J1298">
        <v>0.031783453</v>
      </c>
      <c r="K1298">
        <v>5371</v>
      </c>
      <c r="L1298">
        <v>3686170.49</v>
      </c>
      <c r="M1298">
        <v>107546.63</v>
      </c>
      <c r="N1298">
        <v>1020</v>
      </c>
      <c r="O1298">
        <v>5478420</v>
      </c>
      <c r="P1298">
        <v>174123.11</v>
      </c>
      <c r="Q1298">
        <v>0</v>
      </c>
      <c r="R1298">
        <v>0</v>
      </c>
      <c r="S1298">
        <v>0.086</v>
      </c>
      <c r="T1298" t="s">
        <v>25</v>
      </c>
    </row>
    <row r="1299" spans="1:20" ht="15">
      <c r="A1299" t="s">
        <v>19</v>
      </c>
      <c r="B1299" t="s">
        <v>20</v>
      </c>
      <c r="C1299" t="str">
        <f t="shared" si="20"/>
        <v>31-Dec-21</v>
      </c>
      <c r="D1299" t="s">
        <v>21</v>
      </c>
      <c r="E1299" t="s">
        <v>22</v>
      </c>
      <c r="F1299" t="str">
        <f>"6056331"</f>
        <v>6056331</v>
      </c>
      <c r="G1299" t="s">
        <v>1341</v>
      </c>
      <c r="I1299" t="s">
        <v>1334</v>
      </c>
      <c r="J1299">
        <v>0.031783453</v>
      </c>
      <c r="K1299">
        <v>73920</v>
      </c>
      <c r="L1299">
        <v>2597092.91</v>
      </c>
      <c r="M1299">
        <v>70212.07</v>
      </c>
      <c r="N1299">
        <v>44.3</v>
      </c>
      <c r="O1299">
        <v>3274656</v>
      </c>
      <c r="P1299">
        <v>104079.88</v>
      </c>
      <c r="Q1299">
        <v>0</v>
      </c>
      <c r="R1299">
        <v>0</v>
      </c>
      <c r="S1299">
        <v>0.052</v>
      </c>
      <c r="T1299" t="s">
        <v>25</v>
      </c>
    </row>
    <row r="1300" spans="1:20" ht="15">
      <c r="A1300" t="s">
        <v>19</v>
      </c>
      <c r="B1300" t="s">
        <v>20</v>
      </c>
      <c r="C1300" t="str">
        <f t="shared" si="20"/>
        <v>31-Dec-21</v>
      </c>
      <c r="D1300" t="s">
        <v>21</v>
      </c>
      <c r="E1300" t="s">
        <v>22</v>
      </c>
      <c r="F1300" t="str">
        <f>"6051046"</f>
        <v>6051046</v>
      </c>
      <c r="G1300" t="s">
        <v>1342</v>
      </c>
      <c r="I1300" t="s">
        <v>1334</v>
      </c>
      <c r="J1300">
        <v>0.031783453</v>
      </c>
      <c r="K1300">
        <v>21000</v>
      </c>
      <c r="L1300">
        <v>5282489.75</v>
      </c>
      <c r="M1300">
        <v>145482.44</v>
      </c>
      <c r="N1300">
        <v>376</v>
      </c>
      <c r="O1300">
        <v>7896000</v>
      </c>
      <c r="P1300">
        <v>250962.15</v>
      </c>
      <c r="Q1300">
        <v>0</v>
      </c>
      <c r="R1300">
        <v>0</v>
      </c>
      <c r="S1300">
        <v>0.124</v>
      </c>
      <c r="T1300" t="s">
        <v>25</v>
      </c>
    </row>
    <row r="1301" spans="1:20" ht="15">
      <c r="A1301" t="s">
        <v>19</v>
      </c>
      <c r="B1301" t="s">
        <v>20</v>
      </c>
      <c r="C1301" t="str">
        <f t="shared" si="20"/>
        <v>31-Dec-21</v>
      </c>
      <c r="D1301" t="s">
        <v>21</v>
      </c>
      <c r="E1301" t="s">
        <v>22</v>
      </c>
      <c r="F1301" t="str">
        <f>"6527666"</f>
        <v>6527666</v>
      </c>
      <c r="G1301" t="s">
        <v>1343</v>
      </c>
      <c r="I1301" t="s">
        <v>1334</v>
      </c>
      <c r="J1301">
        <v>0.031783453</v>
      </c>
      <c r="K1301">
        <v>559145</v>
      </c>
      <c r="L1301">
        <v>10048186.2</v>
      </c>
      <c r="M1301">
        <v>277086.73</v>
      </c>
      <c r="N1301">
        <v>25.95</v>
      </c>
      <c r="O1301">
        <v>14509812.75</v>
      </c>
      <c r="P1301">
        <v>461171.95</v>
      </c>
      <c r="Q1301">
        <v>0</v>
      </c>
      <c r="R1301">
        <v>0</v>
      </c>
      <c r="S1301">
        <v>0.229</v>
      </c>
      <c r="T1301" t="s">
        <v>25</v>
      </c>
    </row>
    <row r="1302" spans="1:20" ht="15">
      <c r="A1302" t="s">
        <v>19</v>
      </c>
      <c r="B1302" t="s">
        <v>20</v>
      </c>
      <c r="C1302" t="str">
        <f t="shared" si="20"/>
        <v>31-Dec-21</v>
      </c>
      <c r="D1302" t="s">
        <v>21</v>
      </c>
      <c r="E1302" t="s">
        <v>22</v>
      </c>
      <c r="F1302" t="str">
        <f>"6156673"</f>
        <v>6156673</v>
      </c>
      <c r="G1302" t="s">
        <v>1344</v>
      </c>
      <c r="I1302" t="s">
        <v>1334</v>
      </c>
      <c r="J1302">
        <v>0.031783453</v>
      </c>
      <c r="K1302">
        <v>54000</v>
      </c>
      <c r="L1302">
        <v>664638.25</v>
      </c>
      <c r="M1302">
        <v>19560.19</v>
      </c>
      <c r="N1302">
        <v>16.95</v>
      </c>
      <c r="O1302">
        <v>915300</v>
      </c>
      <c r="P1302">
        <v>29091.39</v>
      </c>
      <c r="Q1302">
        <v>0</v>
      </c>
      <c r="R1302">
        <v>0</v>
      </c>
      <c r="S1302">
        <v>0.014</v>
      </c>
      <c r="T1302" t="s">
        <v>25</v>
      </c>
    </row>
    <row r="1303" spans="1:20" ht="15">
      <c r="A1303" t="s">
        <v>19</v>
      </c>
      <c r="B1303" t="s">
        <v>20</v>
      </c>
      <c r="C1303" t="str">
        <f t="shared" si="20"/>
        <v>31-Dec-21</v>
      </c>
      <c r="D1303" t="s">
        <v>21</v>
      </c>
      <c r="E1303" t="s">
        <v>22</v>
      </c>
      <c r="F1303" t="str">
        <f>"6186669"</f>
        <v>6186669</v>
      </c>
      <c r="G1303" t="s">
        <v>1345</v>
      </c>
      <c r="I1303" t="s">
        <v>1334</v>
      </c>
      <c r="J1303">
        <v>0.031783453</v>
      </c>
      <c r="K1303">
        <v>24000</v>
      </c>
      <c r="L1303">
        <v>5890161.53</v>
      </c>
      <c r="M1303">
        <v>161245.27</v>
      </c>
      <c r="N1303">
        <v>156.5</v>
      </c>
      <c r="O1303">
        <v>3756000</v>
      </c>
      <c r="P1303">
        <v>119378.65</v>
      </c>
      <c r="Q1303">
        <v>0</v>
      </c>
      <c r="R1303">
        <v>0</v>
      </c>
      <c r="S1303">
        <v>0.059</v>
      </c>
      <c r="T1303" t="s">
        <v>25</v>
      </c>
    </row>
    <row r="1304" spans="1:20" ht="15">
      <c r="A1304" t="s">
        <v>19</v>
      </c>
      <c r="B1304" t="s">
        <v>20</v>
      </c>
      <c r="C1304" t="str">
        <f t="shared" si="20"/>
        <v>31-Dec-21</v>
      </c>
      <c r="D1304" t="s">
        <v>21</v>
      </c>
      <c r="E1304" t="s">
        <v>22</v>
      </c>
      <c r="F1304" t="str">
        <f>"6425663"</f>
        <v>6425663</v>
      </c>
      <c r="G1304" t="s">
        <v>1346</v>
      </c>
      <c r="I1304" t="s">
        <v>1334</v>
      </c>
      <c r="J1304">
        <v>0.031783453</v>
      </c>
      <c r="K1304">
        <v>262226</v>
      </c>
      <c r="L1304">
        <v>11502113.17</v>
      </c>
      <c r="M1304">
        <v>318758.41</v>
      </c>
      <c r="N1304">
        <v>62.5</v>
      </c>
      <c r="O1304">
        <v>16389125</v>
      </c>
      <c r="P1304">
        <v>520902.99</v>
      </c>
      <c r="Q1304">
        <v>0</v>
      </c>
      <c r="R1304">
        <v>0</v>
      </c>
      <c r="S1304">
        <v>0.258</v>
      </c>
      <c r="T1304" t="s">
        <v>25</v>
      </c>
    </row>
    <row r="1305" spans="1:20" ht="15">
      <c r="A1305" t="s">
        <v>19</v>
      </c>
      <c r="B1305" t="s">
        <v>20</v>
      </c>
      <c r="C1305" t="str">
        <f t="shared" si="20"/>
        <v>31-Dec-21</v>
      </c>
      <c r="D1305" t="s">
        <v>21</v>
      </c>
      <c r="E1305" t="s">
        <v>22</v>
      </c>
      <c r="F1305" t="str">
        <f>"B58J1S8"</f>
        <v>B58J1S8</v>
      </c>
      <c r="G1305" t="s">
        <v>1347</v>
      </c>
      <c r="I1305" t="s">
        <v>1334</v>
      </c>
      <c r="J1305">
        <v>0.031783453</v>
      </c>
      <c r="K1305">
        <v>44733</v>
      </c>
      <c r="L1305">
        <v>4457014.37</v>
      </c>
      <c r="M1305">
        <v>125620.35</v>
      </c>
      <c r="N1305">
        <v>263.5</v>
      </c>
      <c r="O1305">
        <v>11787145.5</v>
      </c>
      <c r="P1305">
        <v>374636.19</v>
      </c>
      <c r="Q1305">
        <v>0</v>
      </c>
      <c r="R1305">
        <v>0</v>
      </c>
      <c r="S1305">
        <v>0.186</v>
      </c>
      <c r="T1305" t="s">
        <v>25</v>
      </c>
    </row>
    <row r="1306" spans="1:20" ht="15">
      <c r="A1306" t="s">
        <v>19</v>
      </c>
      <c r="B1306" t="s">
        <v>20</v>
      </c>
      <c r="C1306" t="str">
        <f t="shared" si="20"/>
        <v>31-Dec-21</v>
      </c>
      <c r="D1306" t="s">
        <v>21</v>
      </c>
      <c r="E1306" t="s">
        <v>22</v>
      </c>
      <c r="F1306" t="str">
        <f>"6187855"</f>
        <v>6187855</v>
      </c>
      <c r="G1306" t="s">
        <v>1348</v>
      </c>
      <c r="I1306" t="s">
        <v>1334</v>
      </c>
      <c r="J1306">
        <v>0.031783453</v>
      </c>
      <c r="K1306">
        <v>206124</v>
      </c>
      <c r="L1306">
        <v>3101664.08</v>
      </c>
      <c r="M1306">
        <v>85978.16</v>
      </c>
      <c r="N1306">
        <v>17</v>
      </c>
      <c r="O1306">
        <v>3504108</v>
      </c>
      <c r="P1306">
        <v>111372.65</v>
      </c>
      <c r="Q1306">
        <v>0</v>
      </c>
      <c r="R1306">
        <v>0</v>
      </c>
      <c r="S1306">
        <v>0.055</v>
      </c>
      <c r="T1306" t="s">
        <v>25</v>
      </c>
    </row>
    <row r="1307" spans="1:20" ht="15">
      <c r="A1307" t="s">
        <v>19</v>
      </c>
      <c r="B1307" t="s">
        <v>20</v>
      </c>
      <c r="C1307" t="str">
        <f t="shared" si="20"/>
        <v>31-Dec-21</v>
      </c>
      <c r="D1307" t="s">
        <v>21</v>
      </c>
      <c r="E1307" t="s">
        <v>22</v>
      </c>
      <c r="F1307" t="str">
        <f>"6190228"</f>
        <v>6190228</v>
      </c>
      <c r="G1307" t="s">
        <v>1349</v>
      </c>
      <c r="I1307" t="s">
        <v>1334</v>
      </c>
      <c r="J1307">
        <v>0.031783453</v>
      </c>
      <c r="K1307">
        <v>59000</v>
      </c>
      <c r="L1307">
        <v>3700029.75</v>
      </c>
      <c r="M1307">
        <v>98448.45</v>
      </c>
      <c r="N1307">
        <v>36.1</v>
      </c>
      <c r="O1307">
        <v>2129900</v>
      </c>
      <c r="P1307">
        <v>67695.58</v>
      </c>
      <c r="Q1307">
        <v>0</v>
      </c>
      <c r="R1307">
        <v>0</v>
      </c>
      <c r="S1307">
        <v>0.034</v>
      </c>
      <c r="T1307" t="s">
        <v>25</v>
      </c>
    </row>
    <row r="1308" spans="1:20" ht="15">
      <c r="A1308" t="s">
        <v>19</v>
      </c>
      <c r="B1308" t="s">
        <v>20</v>
      </c>
      <c r="C1308" t="str">
        <f t="shared" si="20"/>
        <v>31-Dec-21</v>
      </c>
      <c r="D1308" t="s">
        <v>21</v>
      </c>
      <c r="E1308" t="s">
        <v>22</v>
      </c>
      <c r="F1308" t="str">
        <f>"6140579"</f>
        <v>6140579</v>
      </c>
      <c r="G1308" t="s">
        <v>1350</v>
      </c>
      <c r="I1308" t="s">
        <v>1334</v>
      </c>
      <c r="J1308">
        <v>0.031783453</v>
      </c>
      <c r="K1308">
        <v>19951</v>
      </c>
      <c r="L1308">
        <v>1560626.49</v>
      </c>
      <c r="M1308">
        <v>43940.83</v>
      </c>
      <c r="N1308">
        <v>82.3</v>
      </c>
      <c r="O1308">
        <v>1641967.3</v>
      </c>
      <c r="P1308">
        <v>52187.39</v>
      </c>
      <c r="Q1308">
        <v>0</v>
      </c>
      <c r="R1308">
        <v>0</v>
      </c>
      <c r="S1308">
        <v>0.026</v>
      </c>
      <c r="T1308" t="s">
        <v>25</v>
      </c>
    </row>
    <row r="1309" spans="1:20" ht="15">
      <c r="A1309" t="s">
        <v>19</v>
      </c>
      <c r="B1309" t="s">
        <v>20</v>
      </c>
      <c r="C1309" t="str">
        <f t="shared" si="20"/>
        <v>31-Dec-21</v>
      </c>
      <c r="D1309" t="s">
        <v>21</v>
      </c>
      <c r="E1309" t="s">
        <v>22</v>
      </c>
      <c r="F1309" t="str">
        <f>"6189657"</f>
        <v>6189657</v>
      </c>
      <c r="G1309" t="s">
        <v>1351</v>
      </c>
      <c r="I1309" t="s">
        <v>1334</v>
      </c>
      <c r="J1309">
        <v>0.031783453</v>
      </c>
      <c r="K1309">
        <v>82000</v>
      </c>
      <c r="L1309">
        <v>851970.83</v>
      </c>
      <c r="M1309">
        <v>23422.19</v>
      </c>
      <c r="N1309">
        <v>27.55</v>
      </c>
      <c r="O1309">
        <v>2259100</v>
      </c>
      <c r="P1309">
        <v>71802</v>
      </c>
      <c r="Q1309">
        <v>0</v>
      </c>
      <c r="R1309">
        <v>0</v>
      </c>
      <c r="S1309">
        <v>0.036</v>
      </c>
      <c r="T1309" t="s">
        <v>25</v>
      </c>
    </row>
    <row r="1310" spans="1:20" ht="15">
      <c r="A1310" t="s">
        <v>19</v>
      </c>
      <c r="B1310" t="s">
        <v>20</v>
      </c>
      <c r="C1310" t="str">
        <f t="shared" si="20"/>
        <v>31-Dec-21</v>
      </c>
      <c r="D1310" t="s">
        <v>21</v>
      </c>
      <c r="E1310" t="s">
        <v>22</v>
      </c>
      <c r="F1310" t="str">
        <f>"6431756"</f>
        <v>6431756</v>
      </c>
      <c r="G1310" t="s">
        <v>1352</v>
      </c>
      <c r="I1310" t="s">
        <v>1334</v>
      </c>
      <c r="J1310">
        <v>0.031783453</v>
      </c>
      <c r="K1310">
        <v>428000</v>
      </c>
      <c r="L1310">
        <v>3979623.56</v>
      </c>
      <c r="M1310">
        <v>108831.84</v>
      </c>
      <c r="N1310">
        <v>17.5</v>
      </c>
      <c r="O1310">
        <v>7490000</v>
      </c>
      <c r="P1310">
        <v>238058.06</v>
      </c>
      <c r="Q1310">
        <v>0</v>
      </c>
      <c r="R1310">
        <v>0</v>
      </c>
      <c r="S1310">
        <v>0.118</v>
      </c>
      <c r="T1310" t="s">
        <v>25</v>
      </c>
    </row>
    <row r="1311" spans="1:20" ht="15">
      <c r="A1311" t="s">
        <v>19</v>
      </c>
      <c r="B1311" t="s">
        <v>20</v>
      </c>
      <c r="C1311" t="str">
        <f t="shared" si="20"/>
        <v>31-Dec-21</v>
      </c>
      <c r="D1311" t="s">
        <v>21</v>
      </c>
      <c r="E1311" t="s">
        <v>22</v>
      </c>
      <c r="F1311" t="str">
        <f>"6191328"</f>
        <v>6191328</v>
      </c>
      <c r="G1311" t="s">
        <v>1353</v>
      </c>
      <c r="I1311" t="s">
        <v>1334</v>
      </c>
      <c r="J1311">
        <v>0.031783453</v>
      </c>
      <c r="K1311">
        <v>6000</v>
      </c>
      <c r="L1311">
        <v>267142.34</v>
      </c>
      <c r="M1311">
        <v>7960.61</v>
      </c>
      <c r="N1311">
        <v>63.4</v>
      </c>
      <c r="O1311">
        <v>380400</v>
      </c>
      <c r="P1311">
        <v>12090.43</v>
      </c>
      <c r="Q1311">
        <v>0</v>
      </c>
      <c r="R1311">
        <v>0</v>
      </c>
      <c r="S1311">
        <v>0.006</v>
      </c>
      <c r="T1311" t="s">
        <v>25</v>
      </c>
    </row>
    <row r="1312" spans="1:20" ht="15">
      <c r="A1312" t="s">
        <v>19</v>
      </c>
      <c r="B1312" t="s">
        <v>20</v>
      </c>
      <c r="C1312" t="str">
        <f t="shared" si="20"/>
        <v>31-Dec-21</v>
      </c>
      <c r="D1312" t="s">
        <v>21</v>
      </c>
      <c r="E1312" t="s">
        <v>22</v>
      </c>
      <c r="F1312" t="str">
        <f>"6190950"</f>
        <v>6190950</v>
      </c>
      <c r="G1312" t="s">
        <v>1354</v>
      </c>
      <c r="I1312" t="s">
        <v>1334</v>
      </c>
      <c r="J1312">
        <v>0.031783453</v>
      </c>
      <c r="K1312">
        <v>379180</v>
      </c>
      <c r="L1312">
        <v>9124412.54</v>
      </c>
      <c r="M1312">
        <v>243596.79</v>
      </c>
      <c r="N1312">
        <v>35.35</v>
      </c>
      <c r="O1312">
        <v>13404013</v>
      </c>
      <c r="P1312">
        <v>426025.82</v>
      </c>
      <c r="Q1312">
        <v>0</v>
      </c>
      <c r="R1312">
        <v>0</v>
      </c>
      <c r="S1312">
        <v>0.211</v>
      </c>
      <c r="T1312" t="s">
        <v>25</v>
      </c>
    </row>
    <row r="1313" spans="1:20" ht="15">
      <c r="A1313" t="s">
        <v>19</v>
      </c>
      <c r="B1313" t="s">
        <v>20</v>
      </c>
      <c r="C1313" t="str">
        <f t="shared" si="20"/>
        <v>31-Dec-21</v>
      </c>
      <c r="D1313" t="s">
        <v>21</v>
      </c>
      <c r="E1313" t="s">
        <v>22</v>
      </c>
      <c r="F1313" t="str">
        <f>"6287841"</f>
        <v>6287841</v>
      </c>
      <c r="G1313" t="s">
        <v>1355</v>
      </c>
      <c r="I1313" t="s">
        <v>1334</v>
      </c>
      <c r="J1313">
        <v>0.031783453</v>
      </c>
      <c r="K1313">
        <v>122000</v>
      </c>
      <c r="L1313">
        <v>12751911.97</v>
      </c>
      <c r="M1313">
        <v>362877.67</v>
      </c>
      <c r="N1313">
        <v>116.5</v>
      </c>
      <c r="O1313">
        <v>14213000</v>
      </c>
      <c r="P1313">
        <v>451738.22</v>
      </c>
      <c r="Q1313">
        <v>0</v>
      </c>
      <c r="R1313">
        <v>0</v>
      </c>
      <c r="S1313">
        <v>0.224</v>
      </c>
      <c r="T1313" t="s">
        <v>25</v>
      </c>
    </row>
    <row r="1314" spans="1:20" ht="15">
      <c r="A1314" t="s">
        <v>19</v>
      </c>
      <c r="B1314" t="s">
        <v>20</v>
      </c>
      <c r="C1314" t="str">
        <f t="shared" si="20"/>
        <v>31-Dec-21</v>
      </c>
      <c r="D1314" t="s">
        <v>21</v>
      </c>
      <c r="E1314" t="s">
        <v>22</v>
      </c>
      <c r="F1314" t="str">
        <f>"6225744"</f>
        <v>6225744</v>
      </c>
      <c r="G1314" t="s">
        <v>1356</v>
      </c>
      <c r="I1314" t="s">
        <v>1334</v>
      </c>
      <c r="J1314">
        <v>0.031783453</v>
      </c>
      <c r="K1314">
        <v>146000</v>
      </c>
      <c r="L1314">
        <v>2842762.39</v>
      </c>
      <c r="M1314">
        <v>76680.49</v>
      </c>
      <c r="N1314">
        <v>24.2</v>
      </c>
      <c r="O1314">
        <v>3533200</v>
      </c>
      <c r="P1314">
        <v>112297.3</v>
      </c>
      <c r="Q1314">
        <v>0</v>
      </c>
      <c r="R1314">
        <v>0</v>
      </c>
      <c r="S1314">
        <v>0.056</v>
      </c>
      <c r="T1314" t="s">
        <v>25</v>
      </c>
    </row>
    <row r="1315" spans="1:20" ht="15">
      <c r="A1315" t="s">
        <v>19</v>
      </c>
      <c r="B1315" t="s">
        <v>20</v>
      </c>
      <c r="C1315" t="str">
        <f t="shared" si="20"/>
        <v>31-Dec-21</v>
      </c>
      <c r="D1315" t="s">
        <v>21</v>
      </c>
      <c r="E1315" t="s">
        <v>22</v>
      </c>
      <c r="F1315" t="str">
        <f>"6260734"</f>
        <v>6260734</v>
      </c>
      <c r="G1315" t="s">
        <v>1357</v>
      </c>
      <c r="I1315" t="s">
        <v>1334</v>
      </c>
      <c r="J1315">
        <v>0.031783453</v>
      </c>
      <c r="K1315">
        <v>67988</v>
      </c>
      <c r="L1315">
        <v>10279604.44</v>
      </c>
      <c r="M1315">
        <v>285345.33</v>
      </c>
      <c r="N1315">
        <v>275</v>
      </c>
      <c r="O1315">
        <v>18696700</v>
      </c>
      <c r="P1315">
        <v>594245.69</v>
      </c>
      <c r="Q1315">
        <v>0</v>
      </c>
      <c r="R1315">
        <v>0</v>
      </c>
      <c r="S1315">
        <v>0.295</v>
      </c>
      <c r="T1315" t="s">
        <v>25</v>
      </c>
    </row>
    <row r="1316" spans="1:20" ht="15">
      <c r="A1316" t="s">
        <v>19</v>
      </c>
      <c r="B1316" t="s">
        <v>20</v>
      </c>
      <c r="C1316" t="str">
        <f t="shared" si="20"/>
        <v>31-Dec-21</v>
      </c>
      <c r="D1316" t="s">
        <v>21</v>
      </c>
      <c r="E1316" t="s">
        <v>22</v>
      </c>
      <c r="F1316" t="str">
        <f>"6433912"</f>
        <v>6433912</v>
      </c>
      <c r="G1316" t="s">
        <v>1358</v>
      </c>
      <c r="I1316" t="s">
        <v>1334</v>
      </c>
      <c r="J1316">
        <v>0.031783453</v>
      </c>
      <c r="K1316">
        <v>413363</v>
      </c>
      <c r="L1316">
        <v>6288745.09</v>
      </c>
      <c r="M1316">
        <v>178118.19</v>
      </c>
      <c r="N1316">
        <v>28.05</v>
      </c>
      <c r="O1316">
        <v>11594832.15</v>
      </c>
      <c r="P1316">
        <v>368523.8</v>
      </c>
      <c r="Q1316">
        <v>0</v>
      </c>
      <c r="R1316">
        <v>0</v>
      </c>
      <c r="S1316">
        <v>0.183</v>
      </c>
      <c r="T1316" t="s">
        <v>25</v>
      </c>
    </row>
    <row r="1317" spans="1:20" ht="15">
      <c r="A1317" t="s">
        <v>19</v>
      </c>
      <c r="B1317" t="s">
        <v>20</v>
      </c>
      <c r="C1317" t="str">
        <f t="shared" si="20"/>
        <v>31-Dec-21</v>
      </c>
      <c r="D1317" t="s">
        <v>21</v>
      </c>
      <c r="E1317" t="s">
        <v>22</v>
      </c>
      <c r="F1317" t="str">
        <f>"BK80TL5"</f>
        <v>BK80TL5</v>
      </c>
      <c r="G1317" t="s">
        <v>1359</v>
      </c>
      <c r="I1317" t="s">
        <v>1334</v>
      </c>
      <c r="J1317">
        <v>0.031783453</v>
      </c>
      <c r="K1317">
        <v>23500</v>
      </c>
      <c r="L1317">
        <v>2239602.16</v>
      </c>
      <c r="M1317">
        <v>59107.44</v>
      </c>
      <c r="N1317">
        <v>76.7</v>
      </c>
      <c r="O1317">
        <v>1802450</v>
      </c>
      <c r="P1317">
        <v>57288.09</v>
      </c>
      <c r="Q1317">
        <v>0</v>
      </c>
      <c r="R1317">
        <v>0</v>
      </c>
      <c r="S1317">
        <v>0.028</v>
      </c>
      <c r="T1317" t="s">
        <v>25</v>
      </c>
    </row>
    <row r="1318" spans="1:20" ht="15">
      <c r="A1318" t="s">
        <v>19</v>
      </c>
      <c r="B1318" t="s">
        <v>20</v>
      </c>
      <c r="C1318" t="str">
        <f t="shared" si="20"/>
        <v>31-Dec-21</v>
      </c>
      <c r="D1318" t="s">
        <v>21</v>
      </c>
      <c r="E1318" t="s">
        <v>22</v>
      </c>
      <c r="F1318" t="str">
        <f>"6345783"</f>
        <v>6345783</v>
      </c>
      <c r="G1318" t="s">
        <v>1360</v>
      </c>
      <c r="I1318" t="s">
        <v>1334</v>
      </c>
      <c r="J1318">
        <v>0.031783453</v>
      </c>
      <c r="K1318">
        <v>6413</v>
      </c>
      <c r="L1318">
        <v>2477716.48</v>
      </c>
      <c r="M1318">
        <v>68209.67</v>
      </c>
      <c r="N1318">
        <v>631</v>
      </c>
      <c r="O1318">
        <v>4046603</v>
      </c>
      <c r="P1318">
        <v>128615.02</v>
      </c>
      <c r="Q1318">
        <v>0</v>
      </c>
      <c r="R1318">
        <v>0</v>
      </c>
      <c r="S1318">
        <v>0.064</v>
      </c>
      <c r="T1318" t="s">
        <v>25</v>
      </c>
    </row>
    <row r="1319" spans="1:20" ht="15">
      <c r="A1319" t="s">
        <v>19</v>
      </c>
      <c r="B1319" t="s">
        <v>20</v>
      </c>
      <c r="C1319" t="str">
        <f t="shared" si="20"/>
        <v>31-Dec-21</v>
      </c>
      <c r="D1319" t="s">
        <v>21</v>
      </c>
      <c r="E1319" t="s">
        <v>22</v>
      </c>
      <c r="F1319" t="str">
        <f>"6318514"</f>
        <v>6318514</v>
      </c>
      <c r="G1319" t="s">
        <v>1361</v>
      </c>
      <c r="I1319" t="s">
        <v>1334</v>
      </c>
      <c r="J1319">
        <v>0.031783453</v>
      </c>
      <c r="K1319">
        <v>31489</v>
      </c>
      <c r="L1319">
        <v>749149.63</v>
      </c>
      <c r="M1319">
        <v>19639.59</v>
      </c>
      <c r="N1319">
        <v>40.5</v>
      </c>
      <c r="O1319">
        <v>1275304.5</v>
      </c>
      <c r="P1319">
        <v>40533.58</v>
      </c>
      <c r="Q1319">
        <v>0</v>
      </c>
      <c r="R1319">
        <v>0</v>
      </c>
      <c r="S1319">
        <v>0.02</v>
      </c>
      <c r="T1319" t="s">
        <v>25</v>
      </c>
    </row>
    <row r="1320" spans="1:20" ht="15">
      <c r="A1320" t="s">
        <v>19</v>
      </c>
      <c r="B1320" t="s">
        <v>20</v>
      </c>
      <c r="C1320" t="str">
        <f t="shared" si="20"/>
        <v>31-Dec-21</v>
      </c>
      <c r="D1320" t="s">
        <v>21</v>
      </c>
      <c r="E1320" t="s">
        <v>22</v>
      </c>
      <c r="F1320" t="str">
        <f>"6186023"</f>
        <v>6186023</v>
      </c>
      <c r="G1320" t="s">
        <v>1362</v>
      </c>
      <c r="I1320" t="s">
        <v>1334</v>
      </c>
      <c r="J1320">
        <v>0.031783453</v>
      </c>
      <c r="K1320">
        <v>79518</v>
      </c>
      <c r="L1320">
        <v>1107866.54</v>
      </c>
      <c r="M1320">
        <v>30063.85</v>
      </c>
      <c r="N1320">
        <v>27.95</v>
      </c>
      <c r="O1320">
        <v>2222528.1</v>
      </c>
      <c r="P1320">
        <v>70639.62</v>
      </c>
      <c r="Q1320">
        <v>0</v>
      </c>
      <c r="R1320">
        <v>0</v>
      </c>
      <c r="S1320">
        <v>0.035</v>
      </c>
      <c r="T1320" t="s">
        <v>25</v>
      </c>
    </row>
    <row r="1321" spans="1:20" ht="15">
      <c r="A1321" t="s">
        <v>19</v>
      </c>
      <c r="B1321" t="s">
        <v>20</v>
      </c>
      <c r="C1321" t="str">
        <f t="shared" si="20"/>
        <v>31-Dec-21</v>
      </c>
      <c r="D1321" t="s">
        <v>21</v>
      </c>
      <c r="E1321" t="s">
        <v>22</v>
      </c>
      <c r="F1321" t="str">
        <f>"6324500"</f>
        <v>6324500</v>
      </c>
      <c r="G1321" t="s">
        <v>1363</v>
      </c>
      <c r="I1321" t="s">
        <v>1334</v>
      </c>
      <c r="J1321">
        <v>0.031783453</v>
      </c>
      <c r="K1321">
        <v>89580</v>
      </c>
      <c r="L1321">
        <v>1213349.99</v>
      </c>
      <c r="M1321">
        <v>34007.84</v>
      </c>
      <c r="N1321">
        <v>142.5</v>
      </c>
      <c r="O1321">
        <v>12765150</v>
      </c>
      <c r="P1321">
        <v>405720.55</v>
      </c>
      <c r="Q1321">
        <v>0</v>
      </c>
      <c r="R1321">
        <v>0</v>
      </c>
      <c r="S1321">
        <v>0.201</v>
      </c>
      <c r="T1321" t="s">
        <v>25</v>
      </c>
    </row>
    <row r="1322" spans="1:20" ht="15">
      <c r="A1322" t="s">
        <v>19</v>
      </c>
      <c r="B1322" t="s">
        <v>20</v>
      </c>
      <c r="C1322" t="str">
        <f t="shared" si="20"/>
        <v>31-Dec-21</v>
      </c>
      <c r="D1322" t="s">
        <v>21</v>
      </c>
      <c r="E1322" t="s">
        <v>22</v>
      </c>
      <c r="F1322" t="str">
        <f>"6421854"</f>
        <v>6421854</v>
      </c>
      <c r="G1322" t="s">
        <v>1364</v>
      </c>
      <c r="I1322" t="s">
        <v>1334</v>
      </c>
      <c r="J1322">
        <v>0.031783453</v>
      </c>
      <c r="K1322">
        <v>52000</v>
      </c>
      <c r="L1322">
        <v>3471693.1</v>
      </c>
      <c r="M1322">
        <v>95992.83</v>
      </c>
      <c r="N1322">
        <v>64.6</v>
      </c>
      <c r="O1322">
        <v>3359200</v>
      </c>
      <c r="P1322">
        <v>106766.98</v>
      </c>
      <c r="Q1322">
        <v>0</v>
      </c>
      <c r="R1322">
        <v>0</v>
      </c>
      <c r="S1322">
        <v>0.053</v>
      </c>
      <c r="T1322" t="s">
        <v>25</v>
      </c>
    </row>
    <row r="1323" spans="1:20" ht="15">
      <c r="A1323" t="s">
        <v>19</v>
      </c>
      <c r="B1323" t="s">
        <v>20</v>
      </c>
      <c r="C1323" t="str">
        <f t="shared" si="20"/>
        <v>31-Dec-21</v>
      </c>
      <c r="D1323" t="s">
        <v>21</v>
      </c>
      <c r="E1323" t="s">
        <v>22</v>
      </c>
      <c r="F1323" t="str">
        <f>"6328450"</f>
        <v>6328450</v>
      </c>
      <c r="G1323" t="s">
        <v>1365</v>
      </c>
      <c r="I1323" t="s">
        <v>1334</v>
      </c>
      <c r="J1323">
        <v>0.031783453</v>
      </c>
      <c r="K1323">
        <v>109292</v>
      </c>
      <c r="L1323">
        <v>1037444.11</v>
      </c>
      <c r="M1323">
        <v>29237.21</v>
      </c>
      <c r="N1323">
        <v>10.75</v>
      </c>
      <c r="O1323">
        <v>1174889</v>
      </c>
      <c r="P1323">
        <v>37342.03</v>
      </c>
      <c r="Q1323">
        <v>0</v>
      </c>
      <c r="R1323">
        <v>0</v>
      </c>
      <c r="S1323">
        <v>0.019</v>
      </c>
      <c r="T1323" t="s">
        <v>25</v>
      </c>
    </row>
    <row r="1324" spans="1:20" ht="15">
      <c r="A1324" t="s">
        <v>19</v>
      </c>
      <c r="B1324" t="s">
        <v>20</v>
      </c>
      <c r="C1324" t="str">
        <f t="shared" si="20"/>
        <v>31-Dec-21</v>
      </c>
      <c r="D1324" t="s">
        <v>21</v>
      </c>
      <c r="E1324" t="s">
        <v>22</v>
      </c>
      <c r="F1324" t="str">
        <f>"6331470"</f>
        <v>6331470</v>
      </c>
      <c r="G1324" t="s">
        <v>1366</v>
      </c>
      <c r="I1324" t="s">
        <v>1334</v>
      </c>
      <c r="J1324">
        <v>0.031783453</v>
      </c>
      <c r="K1324">
        <v>134158</v>
      </c>
      <c r="L1324">
        <v>4024781.74</v>
      </c>
      <c r="M1324">
        <v>110369.6</v>
      </c>
      <c r="N1324">
        <v>29.3</v>
      </c>
      <c r="O1324">
        <v>3930829.4</v>
      </c>
      <c r="P1324">
        <v>124935.33</v>
      </c>
      <c r="Q1324">
        <v>0</v>
      </c>
      <c r="R1324">
        <v>0</v>
      </c>
      <c r="S1324">
        <v>0.062</v>
      </c>
      <c r="T1324" t="s">
        <v>25</v>
      </c>
    </row>
    <row r="1325" spans="1:20" ht="15">
      <c r="A1325" t="s">
        <v>19</v>
      </c>
      <c r="B1325" t="s">
        <v>20</v>
      </c>
      <c r="C1325" t="str">
        <f t="shared" si="20"/>
        <v>31-Dec-21</v>
      </c>
      <c r="D1325" t="s">
        <v>21</v>
      </c>
      <c r="E1325" t="s">
        <v>22</v>
      </c>
      <c r="F1325" t="str">
        <f>"6336055"</f>
        <v>6336055</v>
      </c>
      <c r="G1325" t="s">
        <v>1367</v>
      </c>
      <c r="I1325" t="s">
        <v>1334</v>
      </c>
      <c r="J1325">
        <v>0.031783453</v>
      </c>
      <c r="K1325">
        <v>15132</v>
      </c>
      <c r="L1325">
        <v>2182496.07</v>
      </c>
      <c r="M1325">
        <v>61153.46</v>
      </c>
      <c r="N1325">
        <v>231.5</v>
      </c>
      <c r="O1325">
        <v>3503058</v>
      </c>
      <c r="P1325">
        <v>111339.28</v>
      </c>
      <c r="Q1325">
        <v>0</v>
      </c>
      <c r="R1325">
        <v>0</v>
      </c>
      <c r="S1325">
        <v>0.055</v>
      </c>
      <c r="T1325" t="s">
        <v>25</v>
      </c>
    </row>
    <row r="1326" spans="1:20" ht="15">
      <c r="A1326" t="s">
        <v>19</v>
      </c>
      <c r="B1326" t="s">
        <v>20</v>
      </c>
      <c r="C1326" t="str">
        <f t="shared" si="20"/>
        <v>31-Dec-21</v>
      </c>
      <c r="D1326" t="s">
        <v>21</v>
      </c>
      <c r="E1326" t="s">
        <v>22</v>
      </c>
      <c r="F1326" t="str">
        <f>"6580119"</f>
        <v>6580119</v>
      </c>
      <c r="G1326" t="s">
        <v>1368</v>
      </c>
      <c r="I1326" t="s">
        <v>1334</v>
      </c>
      <c r="J1326">
        <v>0.031783453</v>
      </c>
      <c r="K1326">
        <v>333471</v>
      </c>
      <c r="L1326">
        <v>5649268.62</v>
      </c>
      <c r="M1326">
        <v>159596.32</v>
      </c>
      <c r="N1326">
        <v>24.5</v>
      </c>
      <c r="O1326">
        <v>8170039.5</v>
      </c>
      <c r="P1326">
        <v>259672.07</v>
      </c>
      <c r="Q1326">
        <v>0</v>
      </c>
      <c r="R1326">
        <v>0</v>
      </c>
      <c r="S1326">
        <v>0.129</v>
      </c>
      <c r="T1326" t="s">
        <v>25</v>
      </c>
    </row>
    <row r="1327" spans="1:20" ht="15">
      <c r="A1327" t="s">
        <v>19</v>
      </c>
      <c r="B1327" t="s">
        <v>20</v>
      </c>
      <c r="C1327" t="str">
        <f t="shared" si="20"/>
        <v>31-Dec-21</v>
      </c>
      <c r="D1327" t="s">
        <v>21</v>
      </c>
      <c r="E1327" t="s">
        <v>22</v>
      </c>
      <c r="F1327" t="str">
        <f>"6348715"</f>
        <v>6348715</v>
      </c>
      <c r="G1327" t="s">
        <v>1369</v>
      </c>
      <c r="I1327" t="s">
        <v>1334</v>
      </c>
      <c r="J1327">
        <v>0.031783453</v>
      </c>
      <c r="K1327">
        <v>113000</v>
      </c>
      <c r="L1327">
        <v>9648600.46</v>
      </c>
      <c r="M1327">
        <v>265198.05</v>
      </c>
      <c r="N1327">
        <v>80.8</v>
      </c>
      <c r="O1327">
        <v>9130400</v>
      </c>
      <c r="P1327">
        <v>290195.64</v>
      </c>
      <c r="Q1327">
        <v>0</v>
      </c>
      <c r="R1327">
        <v>0</v>
      </c>
      <c r="S1327">
        <v>0.144</v>
      </c>
      <c r="T1327" t="s">
        <v>25</v>
      </c>
    </row>
    <row r="1328" spans="1:20" ht="15">
      <c r="A1328" t="s">
        <v>19</v>
      </c>
      <c r="B1328" t="s">
        <v>20</v>
      </c>
      <c r="C1328" t="str">
        <f t="shared" si="20"/>
        <v>31-Dec-21</v>
      </c>
      <c r="D1328" t="s">
        <v>21</v>
      </c>
      <c r="E1328" t="s">
        <v>22</v>
      </c>
      <c r="F1328" t="str">
        <f>"6718716"</f>
        <v>6718716</v>
      </c>
      <c r="G1328" t="s">
        <v>1370</v>
      </c>
      <c r="I1328" t="s">
        <v>1334</v>
      </c>
      <c r="J1328">
        <v>0.031783453</v>
      </c>
      <c r="K1328">
        <v>46000</v>
      </c>
      <c r="L1328">
        <v>3922568.98</v>
      </c>
      <c r="M1328">
        <v>106739.57</v>
      </c>
      <c r="N1328">
        <v>95.9</v>
      </c>
      <c r="O1328">
        <v>4411400</v>
      </c>
      <c r="P1328">
        <v>140209.52</v>
      </c>
      <c r="Q1328">
        <v>0</v>
      </c>
      <c r="R1328">
        <v>0</v>
      </c>
      <c r="S1328">
        <v>0.07</v>
      </c>
      <c r="T1328" t="s">
        <v>25</v>
      </c>
    </row>
    <row r="1329" spans="1:20" ht="15">
      <c r="A1329" t="s">
        <v>19</v>
      </c>
      <c r="B1329" t="s">
        <v>20</v>
      </c>
      <c r="C1329" t="str">
        <f t="shared" si="20"/>
        <v>31-Dec-21</v>
      </c>
      <c r="D1329" t="s">
        <v>21</v>
      </c>
      <c r="E1329" t="s">
        <v>22</v>
      </c>
      <c r="F1329" t="str">
        <f>"6348544"</f>
        <v>6348544</v>
      </c>
      <c r="G1329" t="s">
        <v>1371</v>
      </c>
      <c r="I1329" t="s">
        <v>1334</v>
      </c>
      <c r="J1329">
        <v>0.031783453</v>
      </c>
      <c r="K1329">
        <v>150000</v>
      </c>
      <c r="L1329">
        <v>12979059.48</v>
      </c>
      <c r="M1329">
        <v>363535.33</v>
      </c>
      <c r="N1329">
        <v>104</v>
      </c>
      <c r="O1329">
        <v>15600000</v>
      </c>
      <c r="P1329">
        <v>495821.87</v>
      </c>
      <c r="Q1329">
        <v>0</v>
      </c>
      <c r="R1329">
        <v>0</v>
      </c>
      <c r="S1329">
        <v>0.246</v>
      </c>
      <c r="T1329" t="s">
        <v>25</v>
      </c>
    </row>
    <row r="1330" spans="1:20" ht="15">
      <c r="A1330" t="s">
        <v>19</v>
      </c>
      <c r="B1330" t="s">
        <v>20</v>
      </c>
      <c r="C1330" t="str">
        <f t="shared" si="20"/>
        <v>31-Dec-21</v>
      </c>
      <c r="D1330" t="s">
        <v>21</v>
      </c>
      <c r="E1330" t="s">
        <v>22</v>
      </c>
      <c r="F1330" t="str">
        <f>"6348588"</f>
        <v>6348588</v>
      </c>
      <c r="G1330" t="s">
        <v>1372</v>
      </c>
      <c r="I1330" t="s">
        <v>1334</v>
      </c>
      <c r="J1330">
        <v>0.031783453</v>
      </c>
      <c r="K1330">
        <v>45000</v>
      </c>
      <c r="L1330">
        <v>1389175.05</v>
      </c>
      <c r="M1330">
        <v>36133.45</v>
      </c>
      <c r="N1330">
        <v>29.15</v>
      </c>
      <c r="O1330">
        <v>1311750</v>
      </c>
      <c r="P1330">
        <v>41691.94</v>
      </c>
      <c r="Q1330">
        <v>0</v>
      </c>
      <c r="R1330">
        <v>0</v>
      </c>
      <c r="S1330">
        <v>0.021</v>
      </c>
      <c r="T1330" t="s">
        <v>25</v>
      </c>
    </row>
    <row r="1331" spans="1:20" ht="15">
      <c r="A1331" t="s">
        <v>19</v>
      </c>
      <c r="B1331" t="s">
        <v>20</v>
      </c>
      <c r="C1331" t="str">
        <f t="shared" si="20"/>
        <v>31-Dec-21</v>
      </c>
      <c r="D1331" t="s">
        <v>21</v>
      </c>
      <c r="E1331" t="s">
        <v>22</v>
      </c>
      <c r="F1331" t="str">
        <f>"6801779"</f>
        <v>6801779</v>
      </c>
      <c r="G1331" t="s">
        <v>1373</v>
      </c>
      <c r="I1331" t="s">
        <v>1334</v>
      </c>
      <c r="J1331">
        <v>0.031783453</v>
      </c>
      <c r="K1331">
        <v>39571</v>
      </c>
      <c r="L1331">
        <v>2834763.81</v>
      </c>
      <c r="M1331">
        <v>76025.2</v>
      </c>
      <c r="N1331">
        <v>64.9</v>
      </c>
      <c r="O1331">
        <v>2568157.9</v>
      </c>
      <c r="P1331">
        <v>81624.93</v>
      </c>
      <c r="Q1331">
        <v>0</v>
      </c>
      <c r="R1331">
        <v>0</v>
      </c>
      <c r="S1331">
        <v>0.04</v>
      </c>
      <c r="T1331" t="s">
        <v>25</v>
      </c>
    </row>
    <row r="1332" spans="1:20" ht="15">
      <c r="A1332" t="s">
        <v>19</v>
      </c>
      <c r="B1332" t="s">
        <v>20</v>
      </c>
      <c r="C1332" t="str">
        <f t="shared" si="20"/>
        <v>31-Dec-21</v>
      </c>
      <c r="D1332" t="s">
        <v>21</v>
      </c>
      <c r="E1332" t="s">
        <v>22</v>
      </c>
      <c r="F1332" t="str">
        <f>"6411673"</f>
        <v>6411673</v>
      </c>
      <c r="G1332" t="s">
        <v>1374</v>
      </c>
      <c r="I1332" t="s">
        <v>1334</v>
      </c>
      <c r="J1332">
        <v>0.031783453</v>
      </c>
      <c r="K1332">
        <v>227137</v>
      </c>
      <c r="L1332">
        <v>9649270.38</v>
      </c>
      <c r="M1332">
        <v>271675.04</v>
      </c>
      <c r="N1332">
        <v>76.3</v>
      </c>
      <c r="O1332">
        <v>17330553.1</v>
      </c>
      <c r="P1332">
        <v>550824.82</v>
      </c>
      <c r="Q1332">
        <v>0</v>
      </c>
      <c r="R1332">
        <v>0</v>
      </c>
      <c r="S1332">
        <v>0.273</v>
      </c>
      <c r="T1332" t="s">
        <v>25</v>
      </c>
    </row>
    <row r="1333" spans="1:20" ht="15">
      <c r="A1333" t="s">
        <v>19</v>
      </c>
      <c r="B1333" t="s">
        <v>20</v>
      </c>
      <c r="C1333" t="str">
        <f t="shared" si="20"/>
        <v>31-Dec-21</v>
      </c>
      <c r="D1333" t="s">
        <v>21</v>
      </c>
      <c r="E1333" t="s">
        <v>22</v>
      </c>
      <c r="F1333" t="str">
        <f>"B059SR4"</f>
        <v>B059SR4</v>
      </c>
      <c r="G1333" t="s">
        <v>1375</v>
      </c>
      <c r="I1333" t="s">
        <v>1334</v>
      </c>
      <c r="J1333">
        <v>0.031783453</v>
      </c>
      <c r="K1333">
        <v>2000</v>
      </c>
      <c r="L1333">
        <v>1193477</v>
      </c>
      <c r="M1333">
        <v>34882.04</v>
      </c>
      <c r="N1333">
        <v>529</v>
      </c>
      <c r="O1333">
        <v>1058000</v>
      </c>
      <c r="P1333">
        <v>33626.89</v>
      </c>
      <c r="Q1333">
        <v>0</v>
      </c>
      <c r="R1333">
        <v>0</v>
      </c>
      <c r="S1333">
        <v>0.017</v>
      </c>
      <c r="T1333" t="s">
        <v>25</v>
      </c>
    </row>
    <row r="1334" spans="1:20" ht="15">
      <c r="A1334" t="s">
        <v>19</v>
      </c>
      <c r="B1334" t="s">
        <v>20</v>
      </c>
      <c r="C1334" t="str">
        <f t="shared" si="20"/>
        <v>31-Dec-21</v>
      </c>
      <c r="D1334" t="s">
        <v>21</v>
      </c>
      <c r="E1334" t="s">
        <v>22</v>
      </c>
      <c r="F1334" t="str">
        <f>"6372167"</f>
        <v>6372167</v>
      </c>
      <c r="G1334" t="s">
        <v>1376</v>
      </c>
      <c r="I1334" t="s">
        <v>1334</v>
      </c>
      <c r="J1334">
        <v>0.031783453</v>
      </c>
      <c r="K1334">
        <v>10000</v>
      </c>
      <c r="L1334">
        <v>2465823.76</v>
      </c>
      <c r="M1334">
        <v>67533.99</v>
      </c>
      <c r="N1334">
        <v>345</v>
      </c>
      <c r="O1334">
        <v>3450000</v>
      </c>
      <c r="P1334">
        <v>109652.91</v>
      </c>
      <c r="Q1334">
        <v>0</v>
      </c>
      <c r="R1334">
        <v>0</v>
      </c>
      <c r="S1334">
        <v>0.054</v>
      </c>
      <c r="T1334" t="s">
        <v>25</v>
      </c>
    </row>
    <row r="1335" spans="1:20" ht="15">
      <c r="A1335" t="s">
        <v>19</v>
      </c>
      <c r="B1335" t="s">
        <v>20</v>
      </c>
      <c r="C1335" t="str">
        <f t="shared" si="20"/>
        <v>31-Dec-21</v>
      </c>
      <c r="D1335" t="s">
        <v>21</v>
      </c>
      <c r="E1335" t="s">
        <v>22</v>
      </c>
      <c r="F1335" t="str">
        <f>"BS7JP33"</f>
        <v>BS7JP33</v>
      </c>
      <c r="G1335" t="s">
        <v>1377</v>
      </c>
      <c r="I1335" t="s">
        <v>1334</v>
      </c>
      <c r="J1335">
        <v>0.031783453</v>
      </c>
      <c r="K1335">
        <v>7000</v>
      </c>
      <c r="L1335">
        <v>3152087.8</v>
      </c>
      <c r="M1335">
        <v>88319.74</v>
      </c>
      <c r="N1335">
        <v>888</v>
      </c>
      <c r="O1335">
        <v>6216000</v>
      </c>
      <c r="P1335">
        <v>197565.94</v>
      </c>
      <c r="Q1335">
        <v>0</v>
      </c>
      <c r="R1335">
        <v>0</v>
      </c>
      <c r="S1335">
        <v>0.098</v>
      </c>
      <c r="T1335" t="s">
        <v>25</v>
      </c>
    </row>
    <row r="1336" spans="1:20" ht="15">
      <c r="A1336" t="s">
        <v>19</v>
      </c>
      <c r="B1336" t="s">
        <v>20</v>
      </c>
      <c r="C1336" t="str">
        <f t="shared" si="20"/>
        <v>31-Dec-21</v>
      </c>
      <c r="D1336" t="s">
        <v>21</v>
      </c>
      <c r="E1336" t="s">
        <v>22</v>
      </c>
      <c r="F1336" t="str">
        <f>"6510536"</f>
        <v>6510536</v>
      </c>
      <c r="G1336" t="s">
        <v>1378</v>
      </c>
      <c r="I1336" t="s">
        <v>1334</v>
      </c>
      <c r="J1336">
        <v>0.031783453</v>
      </c>
      <c r="K1336">
        <v>21000</v>
      </c>
      <c r="L1336">
        <v>1407294.8</v>
      </c>
      <c r="M1336">
        <v>38016.69</v>
      </c>
      <c r="N1336">
        <v>84.8</v>
      </c>
      <c r="O1336">
        <v>1780800</v>
      </c>
      <c r="P1336">
        <v>56599.97</v>
      </c>
      <c r="Q1336">
        <v>0</v>
      </c>
      <c r="R1336">
        <v>0</v>
      </c>
      <c r="S1336">
        <v>0.028</v>
      </c>
      <c r="T1336" t="s">
        <v>25</v>
      </c>
    </row>
    <row r="1337" spans="1:20" ht="15">
      <c r="A1337" t="s">
        <v>19</v>
      </c>
      <c r="B1337" t="s">
        <v>20</v>
      </c>
      <c r="C1337" t="str">
        <f t="shared" si="20"/>
        <v>31-Dec-21</v>
      </c>
      <c r="D1337" t="s">
        <v>21</v>
      </c>
      <c r="E1337" t="s">
        <v>22</v>
      </c>
      <c r="F1337" t="str">
        <f>"B1YMYT5"</f>
        <v>B1YMYT5</v>
      </c>
      <c r="G1337" t="s">
        <v>1379</v>
      </c>
      <c r="I1337" t="s">
        <v>1334</v>
      </c>
      <c r="J1337">
        <v>0.031783453</v>
      </c>
      <c r="K1337">
        <v>9917</v>
      </c>
      <c r="L1337">
        <v>2891169.88</v>
      </c>
      <c r="M1337">
        <v>83762.68</v>
      </c>
      <c r="N1337">
        <v>306.5</v>
      </c>
      <c r="O1337">
        <v>3039560.5</v>
      </c>
      <c r="P1337">
        <v>96607.73</v>
      </c>
      <c r="Q1337">
        <v>0</v>
      </c>
      <c r="R1337">
        <v>0</v>
      </c>
      <c r="S1337">
        <v>0.048</v>
      </c>
      <c r="T1337" t="s">
        <v>25</v>
      </c>
    </row>
    <row r="1338" spans="1:20" ht="15">
      <c r="A1338" t="s">
        <v>19</v>
      </c>
      <c r="B1338" t="s">
        <v>20</v>
      </c>
      <c r="C1338" t="str">
        <f t="shared" si="20"/>
        <v>31-Dec-21</v>
      </c>
      <c r="D1338" t="s">
        <v>21</v>
      </c>
      <c r="E1338" t="s">
        <v>22</v>
      </c>
      <c r="F1338" t="str">
        <f>"6438564"</f>
        <v>6438564</v>
      </c>
      <c r="G1338" t="s">
        <v>1380</v>
      </c>
      <c r="I1338" t="s">
        <v>1334</v>
      </c>
      <c r="J1338">
        <v>0.031783453</v>
      </c>
      <c r="K1338">
        <v>382289</v>
      </c>
      <c r="L1338">
        <v>35256995.86</v>
      </c>
      <c r="M1338">
        <v>992175.56</v>
      </c>
      <c r="N1338">
        <v>104</v>
      </c>
      <c r="O1338">
        <v>39758056</v>
      </c>
      <c r="P1338">
        <v>1263648.31</v>
      </c>
      <c r="Q1338">
        <v>0</v>
      </c>
      <c r="R1338">
        <v>0</v>
      </c>
      <c r="S1338">
        <v>0.626</v>
      </c>
      <c r="T1338" t="s">
        <v>25</v>
      </c>
    </row>
    <row r="1339" spans="1:20" ht="15">
      <c r="A1339" t="s">
        <v>19</v>
      </c>
      <c r="B1339" t="s">
        <v>20</v>
      </c>
      <c r="C1339" t="str">
        <f t="shared" si="20"/>
        <v>31-Dec-21</v>
      </c>
      <c r="D1339" t="s">
        <v>21</v>
      </c>
      <c r="E1339" t="s">
        <v>22</v>
      </c>
      <c r="F1339" t="str">
        <f>"6417165"</f>
        <v>6417165</v>
      </c>
      <c r="G1339" t="s">
        <v>1381</v>
      </c>
      <c r="I1339" t="s">
        <v>1334</v>
      </c>
      <c r="J1339">
        <v>0.031783453</v>
      </c>
      <c r="K1339">
        <v>11000</v>
      </c>
      <c r="L1339">
        <v>4214005.85</v>
      </c>
      <c r="M1339">
        <v>121758.64</v>
      </c>
      <c r="N1339">
        <v>614</v>
      </c>
      <c r="O1339">
        <v>6754000</v>
      </c>
      <c r="P1339">
        <v>214665.44</v>
      </c>
      <c r="Q1339">
        <v>0</v>
      </c>
      <c r="R1339">
        <v>0</v>
      </c>
      <c r="S1339">
        <v>0.106</v>
      </c>
      <c r="T1339" t="s">
        <v>25</v>
      </c>
    </row>
    <row r="1340" spans="1:20" ht="15">
      <c r="A1340" t="s">
        <v>19</v>
      </c>
      <c r="B1340" t="s">
        <v>20</v>
      </c>
      <c r="C1340" t="str">
        <f t="shared" si="20"/>
        <v>31-Dec-21</v>
      </c>
      <c r="D1340" t="s">
        <v>21</v>
      </c>
      <c r="E1340" t="s">
        <v>22</v>
      </c>
      <c r="F1340" t="str">
        <f>"6411877"</f>
        <v>6411877</v>
      </c>
      <c r="G1340" t="s">
        <v>1382</v>
      </c>
      <c r="I1340" t="s">
        <v>1334</v>
      </c>
      <c r="J1340">
        <v>0.031783453</v>
      </c>
      <c r="K1340">
        <v>330618</v>
      </c>
      <c r="L1340">
        <v>4606629.55</v>
      </c>
      <c r="M1340">
        <v>127717.13</v>
      </c>
      <c r="N1340">
        <v>21.2</v>
      </c>
      <c r="O1340">
        <v>7009101.6</v>
      </c>
      <c r="P1340">
        <v>222773.45</v>
      </c>
      <c r="Q1340">
        <v>0</v>
      </c>
      <c r="R1340">
        <v>0</v>
      </c>
      <c r="S1340">
        <v>0.11</v>
      </c>
      <c r="T1340" t="s">
        <v>25</v>
      </c>
    </row>
    <row r="1341" spans="1:20" ht="15">
      <c r="A1341" t="s">
        <v>19</v>
      </c>
      <c r="B1341" t="s">
        <v>20</v>
      </c>
      <c r="C1341" t="str">
        <f t="shared" si="20"/>
        <v>31-Dec-21</v>
      </c>
      <c r="D1341" t="s">
        <v>21</v>
      </c>
      <c r="E1341" t="s">
        <v>22</v>
      </c>
      <c r="F1341" t="str">
        <f>"B0CC0M5"</f>
        <v>B0CC0M5</v>
      </c>
      <c r="G1341" t="s">
        <v>1383</v>
      </c>
      <c r="I1341" t="s">
        <v>1334</v>
      </c>
      <c r="J1341">
        <v>0.031783453</v>
      </c>
      <c r="K1341">
        <v>299526</v>
      </c>
      <c r="L1341">
        <v>3849614.58</v>
      </c>
      <c r="M1341">
        <v>107037.03</v>
      </c>
      <c r="N1341">
        <v>19.6</v>
      </c>
      <c r="O1341">
        <v>5870709.6</v>
      </c>
      <c r="P1341">
        <v>186591.42</v>
      </c>
      <c r="Q1341">
        <v>0</v>
      </c>
      <c r="R1341">
        <v>0</v>
      </c>
      <c r="S1341">
        <v>0.092</v>
      </c>
      <c r="T1341" t="s">
        <v>25</v>
      </c>
    </row>
    <row r="1342" spans="1:20" ht="15">
      <c r="A1342" t="s">
        <v>19</v>
      </c>
      <c r="B1342" t="s">
        <v>20</v>
      </c>
      <c r="C1342" t="str">
        <f t="shared" si="20"/>
        <v>31-Dec-21</v>
      </c>
      <c r="D1342" t="s">
        <v>21</v>
      </c>
      <c r="E1342" t="s">
        <v>22</v>
      </c>
      <c r="F1342" t="str">
        <f>"6459930"</f>
        <v>6459930</v>
      </c>
      <c r="G1342" t="s">
        <v>1384</v>
      </c>
      <c r="I1342" t="s">
        <v>1334</v>
      </c>
      <c r="J1342">
        <v>0.031783453</v>
      </c>
      <c r="K1342">
        <v>109000</v>
      </c>
      <c r="L1342">
        <v>2432992.35</v>
      </c>
      <c r="M1342">
        <v>65124.66</v>
      </c>
      <c r="N1342">
        <v>24.95</v>
      </c>
      <c r="O1342">
        <v>2719550</v>
      </c>
      <c r="P1342">
        <v>86436.69</v>
      </c>
      <c r="Q1342">
        <v>0</v>
      </c>
      <c r="R1342">
        <v>0</v>
      </c>
      <c r="S1342">
        <v>0.043</v>
      </c>
      <c r="T1342" t="s">
        <v>25</v>
      </c>
    </row>
    <row r="1343" spans="1:20" ht="15">
      <c r="A1343" t="s">
        <v>19</v>
      </c>
      <c r="B1343" t="s">
        <v>20</v>
      </c>
      <c r="C1343" t="str">
        <f t="shared" si="20"/>
        <v>31-Dec-21</v>
      </c>
      <c r="D1343" t="s">
        <v>21</v>
      </c>
      <c r="E1343" t="s">
        <v>22</v>
      </c>
      <c r="F1343" t="str">
        <f>"6451668"</f>
        <v>6451668</v>
      </c>
      <c r="G1343" t="s">
        <v>1385</v>
      </c>
      <c r="I1343" t="s">
        <v>1334</v>
      </c>
      <c r="J1343">
        <v>0.031783453</v>
      </c>
      <c r="K1343">
        <v>3000</v>
      </c>
      <c r="L1343">
        <v>9893204.08</v>
      </c>
      <c r="M1343">
        <v>279175.57</v>
      </c>
      <c r="N1343">
        <v>2465</v>
      </c>
      <c r="O1343">
        <v>7395000</v>
      </c>
      <c r="P1343">
        <v>235038.64</v>
      </c>
      <c r="Q1343">
        <v>0</v>
      </c>
      <c r="R1343">
        <v>0</v>
      </c>
      <c r="S1343">
        <v>0.117</v>
      </c>
      <c r="T1343" t="s">
        <v>25</v>
      </c>
    </row>
    <row r="1344" spans="1:20" ht="15">
      <c r="A1344" t="s">
        <v>19</v>
      </c>
      <c r="B1344" t="s">
        <v>20</v>
      </c>
      <c r="C1344" t="str">
        <f t="shared" si="20"/>
        <v>31-Dec-21</v>
      </c>
      <c r="D1344" t="s">
        <v>21</v>
      </c>
      <c r="E1344" t="s">
        <v>22</v>
      </c>
      <c r="F1344" t="str">
        <f>"6519481"</f>
        <v>6519481</v>
      </c>
      <c r="G1344" t="s">
        <v>1386</v>
      </c>
      <c r="I1344" t="s">
        <v>1334</v>
      </c>
      <c r="J1344">
        <v>0.031783453</v>
      </c>
      <c r="K1344">
        <v>73781</v>
      </c>
      <c r="L1344">
        <v>3219862.96</v>
      </c>
      <c r="M1344">
        <v>89665.04</v>
      </c>
      <c r="N1344">
        <v>63.8</v>
      </c>
      <c r="O1344">
        <v>4707227.8</v>
      </c>
      <c r="P1344">
        <v>149611.95</v>
      </c>
      <c r="Q1344">
        <v>0</v>
      </c>
      <c r="R1344">
        <v>0</v>
      </c>
      <c r="S1344">
        <v>0.074</v>
      </c>
      <c r="T1344" t="s">
        <v>25</v>
      </c>
    </row>
    <row r="1345" spans="1:20" ht="15">
      <c r="A1345" t="s">
        <v>19</v>
      </c>
      <c r="B1345" t="s">
        <v>20</v>
      </c>
      <c r="C1345" t="str">
        <f t="shared" si="20"/>
        <v>31-Dec-21</v>
      </c>
      <c r="D1345" t="s">
        <v>21</v>
      </c>
      <c r="E1345" t="s">
        <v>22</v>
      </c>
      <c r="F1345" t="str">
        <f>"6372480"</f>
        <v>6372480</v>
      </c>
      <c r="G1345" t="s">
        <v>1387</v>
      </c>
      <c r="I1345" t="s">
        <v>1334</v>
      </c>
      <c r="J1345">
        <v>0.031783453</v>
      </c>
      <c r="K1345">
        <v>47940</v>
      </c>
      <c r="L1345">
        <v>17473602.76</v>
      </c>
      <c r="M1345">
        <v>488936.91</v>
      </c>
      <c r="N1345">
        <v>1190</v>
      </c>
      <c r="O1345">
        <v>57048600</v>
      </c>
      <c r="P1345">
        <v>1813201.5</v>
      </c>
      <c r="Q1345">
        <v>0</v>
      </c>
      <c r="R1345">
        <v>0</v>
      </c>
      <c r="S1345">
        <v>0.899</v>
      </c>
      <c r="T1345" t="s">
        <v>25</v>
      </c>
    </row>
    <row r="1346" spans="1:20" ht="15">
      <c r="A1346" t="s">
        <v>19</v>
      </c>
      <c r="B1346" t="s">
        <v>20</v>
      </c>
      <c r="C1346" t="str">
        <f aca="true" t="shared" si="21" ref="C1346:C1409">"31-Dec-21"</f>
        <v>31-Dec-21</v>
      </c>
      <c r="D1346" t="s">
        <v>21</v>
      </c>
      <c r="E1346" t="s">
        <v>22</v>
      </c>
      <c r="F1346" t="str">
        <f>"6444066"</f>
        <v>6444066</v>
      </c>
      <c r="G1346" t="s">
        <v>1388</v>
      </c>
      <c r="I1346" t="s">
        <v>1334</v>
      </c>
      <c r="J1346">
        <v>0.031783453</v>
      </c>
      <c r="K1346">
        <v>324725</v>
      </c>
      <c r="L1346">
        <v>8192368.47</v>
      </c>
      <c r="M1346">
        <v>223667.44</v>
      </c>
      <c r="N1346">
        <v>35.55</v>
      </c>
      <c r="O1346">
        <v>11543973.75</v>
      </c>
      <c r="P1346">
        <v>366907.35</v>
      </c>
      <c r="Q1346">
        <v>0</v>
      </c>
      <c r="R1346">
        <v>0</v>
      </c>
      <c r="S1346">
        <v>0.182</v>
      </c>
      <c r="T1346" t="s">
        <v>25</v>
      </c>
    </row>
    <row r="1347" spans="1:20" ht="15">
      <c r="A1347" t="s">
        <v>19</v>
      </c>
      <c r="B1347" t="s">
        <v>20</v>
      </c>
      <c r="C1347" t="str">
        <f t="shared" si="21"/>
        <v>31-Dec-21</v>
      </c>
      <c r="D1347" t="s">
        <v>21</v>
      </c>
      <c r="E1347" t="s">
        <v>22</v>
      </c>
      <c r="F1347" t="str">
        <f>"6133450"</f>
        <v>6133450</v>
      </c>
      <c r="G1347" t="s">
        <v>1389</v>
      </c>
      <c r="I1347" t="s">
        <v>1334</v>
      </c>
      <c r="J1347">
        <v>0.031783453</v>
      </c>
      <c r="K1347">
        <v>24000</v>
      </c>
      <c r="L1347">
        <v>3355971.96</v>
      </c>
      <c r="M1347">
        <v>97319.6</v>
      </c>
      <c r="N1347">
        <v>160.5</v>
      </c>
      <c r="O1347">
        <v>3852000</v>
      </c>
      <c r="P1347">
        <v>122429.86</v>
      </c>
      <c r="Q1347">
        <v>0</v>
      </c>
      <c r="R1347">
        <v>0</v>
      </c>
      <c r="S1347">
        <v>0.061</v>
      </c>
      <c r="T1347" t="s">
        <v>25</v>
      </c>
    </row>
    <row r="1348" spans="1:20" ht="15">
      <c r="A1348" t="s">
        <v>19</v>
      </c>
      <c r="B1348" t="s">
        <v>20</v>
      </c>
      <c r="C1348" t="str">
        <f t="shared" si="21"/>
        <v>31-Dec-21</v>
      </c>
      <c r="D1348" t="s">
        <v>21</v>
      </c>
      <c r="E1348" t="s">
        <v>22</v>
      </c>
      <c r="F1348" t="str">
        <f>"6621580"</f>
        <v>6621580</v>
      </c>
      <c r="G1348" t="s">
        <v>1390</v>
      </c>
      <c r="I1348" t="s">
        <v>1334</v>
      </c>
      <c r="J1348">
        <v>0.031783453</v>
      </c>
      <c r="K1348">
        <v>174000</v>
      </c>
      <c r="L1348">
        <v>11690142.62</v>
      </c>
      <c r="M1348">
        <v>323350.62</v>
      </c>
      <c r="N1348">
        <v>85.4</v>
      </c>
      <c r="O1348">
        <v>14859600</v>
      </c>
      <c r="P1348">
        <v>472289.4</v>
      </c>
      <c r="Q1348">
        <v>0</v>
      </c>
      <c r="R1348">
        <v>0</v>
      </c>
      <c r="S1348">
        <v>0.234</v>
      </c>
      <c r="T1348" t="s">
        <v>25</v>
      </c>
    </row>
    <row r="1349" spans="1:20" ht="15">
      <c r="A1349" t="s">
        <v>19</v>
      </c>
      <c r="B1349" t="s">
        <v>20</v>
      </c>
      <c r="C1349" t="str">
        <f t="shared" si="21"/>
        <v>31-Dec-21</v>
      </c>
      <c r="D1349" t="s">
        <v>21</v>
      </c>
      <c r="E1349" t="s">
        <v>22</v>
      </c>
      <c r="F1349" t="str">
        <f>"B118753"</f>
        <v>B118753</v>
      </c>
      <c r="G1349" t="s">
        <v>1391</v>
      </c>
      <c r="I1349" t="s">
        <v>1334</v>
      </c>
      <c r="J1349">
        <v>0.031783453</v>
      </c>
      <c r="K1349">
        <v>6000</v>
      </c>
      <c r="L1349">
        <v>1836734.4</v>
      </c>
      <c r="M1349">
        <v>54029.76</v>
      </c>
      <c r="N1349">
        <v>572</v>
      </c>
      <c r="O1349">
        <v>3432000</v>
      </c>
      <c r="P1349">
        <v>109080.81</v>
      </c>
      <c r="Q1349">
        <v>0</v>
      </c>
      <c r="R1349">
        <v>0</v>
      </c>
      <c r="S1349">
        <v>0.054</v>
      </c>
      <c r="T1349" t="s">
        <v>25</v>
      </c>
    </row>
    <row r="1350" spans="1:20" ht="15">
      <c r="A1350" t="s">
        <v>19</v>
      </c>
      <c r="B1350" t="s">
        <v>20</v>
      </c>
      <c r="C1350" t="str">
        <f t="shared" si="21"/>
        <v>31-Dec-21</v>
      </c>
      <c r="D1350" t="s">
        <v>21</v>
      </c>
      <c r="E1350" t="s">
        <v>22</v>
      </c>
      <c r="F1350" t="str">
        <f>"6283601"</f>
        <v>6283601</v>
      </c>
      <c r="G1350" t="s">
        <v>1392</v>
      </c>
      <c r="I1350" t="s">
        <v>1334</v>
      </c>
      <c r="J1350">
        <v>0.031783453</v>
      </c>
      <c r="K1350">
        <v>29056</v>
      </c>
      <c r="L1350">
        <v>1744541.25</v>
      </c>
      <c r="M1350">
        <v>51153.77</v>
      </c>
      <c r="N1350">
        <v>78.1</v>
      </c>
      <c r="O1350">
        <v>2269273.6</v>
      </c>
      <c r="P1350">
        <v>72125.35</v>
      </c>
      <c r="Q1350">
        <v>0</v>
      </c>
      <c r="R1350">
        <v>0</v>
      </c>
      <c r="S1350">
        <v>0.036</v>
      </c>
      <c r="T1350" t="s">
        <v>25</v>
      </c>
    </row>
    <row r="1351" spans="1:20" ht="15">
      <c r="A1351" t="s">
        <v>19</v>
      </c>
      <c r="B1351" t="s">
        <v>20</v>
      </c>
      <c r="C1351" t="str">
        <f t="shared" si="21"/>
        <v>31-Dec-21</v>
      </c>
      <c r="D1351" t="s">
        <v>21</v>
      </c>
      <c r="E1351" t="s">
        <v>22</v>
      </c>
      <c r="F1351" t="str">
        <f>"BSZLN15"</f>
        <v>BSZLN15</v>
      </c>
      <c r="G1351" t="s">
        <v>1393</v>
      </c>
      <c r="I1351" t="s">
        <v>1334</v>
      </c>
      <c r="J1351">
        <v>0.031783453</v>
      </c>
      <c r="K1351">
        <v>5000</v>
      </c>
      <c r="L1351">
        <v>1705385.37</v>
      </c>
      <c r="M1351">
        <v>49779.94</v>
      </c>
      <c r="N1351">
        <v>412.5</v>
      </c>
      <c r="O1351">
        <v>2062500</v>
      </c>
      <c r="P1351">
        <v>65553.37</v>
      </c>
      <c r="Q1351">
        <v>0</v>
      </c>
      <c r="R1351">
        <v>0</v>
      </c>
      <c r="S1351">
        <v>0.032</v>
      </c>
      <c r="T1351" t="s">
        <v>25</v>
      </c>
    </row>
    <row r="1352" spans="1:20" ht="15">
      <c r="A1352" t="s">
        <v>19</v>
      </c>
      <c r="B1352" t="s">
        <v>20</v>
      </c>
      <c r="C1352" t="str">
        <f t="shared" si="21"/>
        <v>31-Dec-21</v>
      </c>
      <c r="D1352" t="s">
        <v>21</v>
      </c>
      <c r="E1352" t="s">
        <v>22</v>
      </c>
      <c r="F1352" t="str">
        <f>"6346333"</f>
        <v>6346333</v>
      </c>
      <c r="G1352" t="s">
        <v>1394</v>
      </c>
      <c r="I1352" t="s">
        <v>1334</v>
      </c>
      <c r="J1352">
        <v>0.031783453</v>
      </c>
      <c r="K1352">
        <v>19000</v>
      </c>
      <c r="L1352">
        <v>2855304.05</v>
      </c>
      <c r="M1352">
        <v>78862.06</v>
      </c>
      <c r="N1352">
        <v>539</v>
      </c>
      <c r="O1352">
        <v>10241000</v>
      </c>
      <c r="P1352">
        <v>325494.34</v>
      </c>
      <c r="Q1352">
        <v>0</v>
      </c>
      <c r="R1352">
        <v>0</v>
      </c>
      <c r="S1352">
        <v>0.161</v>
      </c>
      <c r="T1352" t="s">
        <v>25</v>
      </c>
    </row>
    <row r="1353" spans="1:20" ht="15">
      <c r="A1353" t="s">
        <v>19</v>
      </c>
      <c r="B1353" t="s">
        <v>20</v>
      </c>
      <c r="C1353" t="str">
        <f t="shared" si="21"/>
        <v>31-Dec-21</v>
      </c>
      <c r="D1353" t="s">
        <v>21</v>
      </c>
      <c r="E1353" t="s">
        <v>22</v>
      </c>
      <c r="F1353" t="str">
        <f>"B8N9QP6"</f>
        <v>B8N9QP6</v>
      </c>
      <c r="G1353" t="s">
        <v>1395</v>
      </c>
      <c r="I1353" t="s">
        <v>1334</v>
      </c>
      <c r="J1353">
        <v>0.031783453</v>
      </c>
      <c r="K1353">
        <v>7000</v>
      </c>
      <c r="L1353">
        <v>810823.9</v>
      </c>
      <c r="M1353">
        <v>23554.27</v>
      </c>
      <c r="N1353">
        <v>114</v>
      </c>
      <c r="O1353">
        <v>798000</v>
      </c>
      <c r="P1353">
        <v>25363.2</v>
      </c>
      <c r="Q1353">
        <v>0</v>
      </c>
      <c r="R1353">
        <v>0</v>
      </c>
      <c r="S1353">
        <v>0.013</v>
      </c>
      <c r="T1353" t="s">
        <v>25</v>
      </c>
    </row>
    <row r="1354" spans="1:20" ht="15">
      <c r="A1354" t="s">
        <v>19</v>
      </c>
      <c r="B1354" t="s">
        <v>20</v>
      </c>
      <c r="C1354" t="str">
        <f t="shared" si="21"/>
        <v>31-Dec-21</v>
      </c>
      <c r="D1354" t="s">
        <v>21</v>
      </c>
      <c r="E1354" t="s">
        <v>22</v>
      </c>
      <c r="F1354" t="str">
        <f>"B606XG6"</f>
        <v>B606XG6</v>
      </c>
      <c r="G1354" t="s">
        <v>1396</v>
      </c>
      <c r="I1354" t="s">
        <v>1334</v>
      </c>
      <c r="J1354">
        <v>0.031783453</v>
      </c>
      <c r="K1354">
        <v>10000</v>
      </c>
      <c r="L1354">
        <v>3624962.29</v>
      </c>
      <c r="M1354">
        <v>105304.41</v>
      </c>
      <c r="N1354">
        <v>287.5</v>
      </c>
      <c r="O1354">
        <v>2875000</v>
      </c>
      <c r="P1354">
        <v>91377.43</v>
      </c>
      <c r="Q1354">
        <v>0</v>
      </c>
      <c r="R1354">
        <v>0</v>
      </c>
      <c r="S1354">
        <v>0.045</v>
      </c>
      <c r="T1354" t="s">
        <v>25</v>
      </c>
    </row>
    <row r="1355" spans="1:20" ht="15">
      <c r="A1355" t="s">
        <v>19</v>
      </c>
      <c r="B1355" t="s">
        <v>20</v>
      </c>
      <c r="C1355" t="str">
        <f t="shared" si="21"/>
        <v>31-Dec-21</v>
      </c>
      <c r="D1355" t="s">
        <v>21</v>
      </c>
      <c r="E1355" t="s">
        <v>22</v>
      </c>
      <c r="F1355" t="str">
        <f>"B6RV676"</f>
        <v>B6RV676</v>
      </c>
      <c r="G1355" t="s">
        <v>1397</v>
      </c>
      <c r="I1355" t="s">
        <v>1334</v>
      </c>
      <c r="J1355">
        <v>0.031783453</v>
      </c>
      <c r="K1355">
        <v>2000</v>
      </c>
      <c r="L1355">
        <v>2235060.15</v>
      </c>
      <c r="M1355">
        <v>65330.97</v>
      </c>
      <c r="N1355">
        <v>2115</v>
      </c>
      <c r="O1355">
        <v>4230000</v>
      </c>
      <c r="P1355">
        <v>134444.01</v>
      </c>
      <c r="Q1355">
        <v>0</v>
      </c>
      <c r="R1355">
        <v>0</v>
      </c>
      <c r="S1355">
        <v>0.067</v>
      </c>
      <c r="T1355" t="s">
        <v>25</v>
      </c>
    </row>
    <row r="1356" spans="1:20" ht="15">
      <c r="A1356" t="s">
        <v>19</v>
      </c>
      <c r="B1356" t="s">
        <v>20</v>
      </c>
      <c r="C1356" t="str">
        <f t="shared" si="21"/>
        <v>31-Dec-21</v>
      </c>
      <c r="D1356" t="s">
        <v>21</v>
      </c>
      <c r="E1356" t="s">
        <v>22</v>
      </c>
      <c r="F1356" t="str">
        <f>"B4PLX17"</f>
        <v>B4PLX17</v>
      </c>
      <c r="G1356" t="s">
        <v>1398</v>
      </c>
      <c r="I1356" t="s">
        <v>1334</v>
      </c>
      <c r="J1356">
        <v>0.031783453</v>
      </c>
      <c r="K1356">
        <v>68000</v>
      </c>
      <c r="L1356">
        <v>3816397.71</v>
      </c>
      <c r="M1356">
        <v>103890.64</v>
      </c>
      <c r="N1356">
        <v>69.1</v>
      </c>
      <c r="O1356">
        <v>4698800</v>
      </c>
      <c r="P1356">
        <v>149344.09</v>
      </c>
      <c r="Q1356">
        <v>0</v>
      </c>
      <c r="R1356">
        <v>0</v>
      </c>
      <c r="S1356">
        <v>0.074</v>
      </c>
      <c r="T1356" t="s">
        <v>25</v>
      </c>
    </row>
    <row r="1357" spans="1:20" ht="15">
      <c r="A1357" t="s">
        <v>19</v>
      </c>
      <c r="B1357" t="s">
        <v>20</v>
      </c>
      <c r="C1357" t="str">
        <f t="shared" si="21"/>
        <v>31-Dec-21</v>
      </c>
      <c r="D1357" t="s">
        <v>21</v>
      </c>
      <c r="E1357" t="s">
        <v>22</v>
      </c>
      <c r="F1357" t="str">
        <f>"6696157"</f>
        <v>6696157</v>
      </c>
      <c r="G1357" t="s">
        <v>1399</v>
      </c>
      <c r="I1357" t="s">
        <v>1334</v>
      </c>
      <c r="J1357">
        <v>0.031783453</v>
      </c>
      <c r="K1357">
        <v>90000</v>
      </c>
      <c r="L1357">
        <v>3310245.89</v>
      </c>
      <c r="M1357">
        <v>88313.66</v>
      </c>
      <c r="N1357">
        <v>33.15</v>
      </c>
      <c r="O1357">
        <v>2983500</v>
      </c>
      <c r="P1357">
        <v>94825.93</v>
      </c>
      <c r="Q1357">
        <v>0</v>
      </c>
      <c r="R1357">
        <v>0</v>
      </c>
      <c r="S1357">
        <v>0.047</v>
      </c>
      <c r="T1357" t="s">
        <v>25</v>
      </c>
    </row>
    <row r="1358" spans="1:20" ht="15">
      <c r="A1358" t="s">
        <v>19</v>
      </c>
      <c r="B1358" t="s">
        <v>20</v>
      </c>
      <c r="C1358" t="str">
        <f t="shared" si="21"/>
        <v>31-Dec-21</v>
      </c>
      <c r="D1358" t="s">
        <v>21</v>
      </c>
      <c r="E1358" t="s">
        <v>22</v>
      </c>
      <c r="F1358" t="str">
        <f>"6599676"</f>
        <v>6599676</v>
      </c>
      <c r="G1358" t="s">
        <v>1400</v>
      </c>
      <c r="I1358" t="s">
        <v>1334</v>
      </c>
      <c r="J1358">
        <v>0.031783453</v>
      </c>
      <c r="K1358">
        <v>21000</v>
      </c>
      <c r="L1358">
        <v>1935259.63</v>
      </c>
      <c r="M1358">
        <v>56258.55</v>
      </c>
      <c r="N1358">
        <v>97.7</v>
      </c>
      <c r="O1358">
        <v>2051700</v>
      </c>
      <c r="P1358">
        <v>65210.11</v>
      </c>
      <c r="Q1358">
        <v>0</v>
      </c>
      <c r="R1358">
        <v>0</v>
      </c>
      <c r="S1358">
        <v>0.032</v>
      </c>
      <c r="T1358" t="s">
        <v>25</v>
      </c>
    </row>
    <row r="1359" spans="1:20" ht="15">
      <c r="A1359" t="s">
        <v>19</v>
      </c>
      <c r="B1359" t="s">
        <v>20</v>
      </c>
      <c r="C1359" t="str">
        <f t="shared" si="21"/>
        <v>31-Dec-21</v>
      </c>
      <c r="D1359" t="s">
        <v>21</v>
      </c>
      <c r="E1359" t="s">
        <v>22</v>
      </c>
      <c r="F1359" t="str">
        <f>"6704986"</f>
        <v>6704986</v>
      </c>
      <c r="G1359" t="s">
        <v>1401</v>
      </c>
      <c r="I1359" t="s">
        <v>1334</v>
      </c>
      <c r="J1359">
        <v>0.031783453</v>
      </c>
      <c r="K1359">
        <v>19000</v>
      </c>
      <c r="L1359">
        <v>4651324.23</v>
      </c>
      <c r="M1359">
        <v>128692.23</v>
      </c>
      <c r="N1359">
        <v>273.5</v>
      </c>
      <c r="O1359">
        <v>5196500</v>
      </c>
      <c r="P1359">
        <v>165162.71</v>
      </c>
      <c r="Q1359">
        <v>0</v>
      </c>
      <c r="R1359">
        <v>0</v>
      </c>
      <c r="S1359">
        <v>0.082</v>
      </c>
      <c r="T1359" t="s">
        <v>25</v>
      </c>
    </row>
    <row r="1360" spans="1:20" ht="15">
      <c r="A1360" t="s">
        <v>19</v>
      </c>
      <c r="B1360" t="s">
        <v>20</v>
      </c>
      <c r="C1360" t="str">
        <f t="shared" si="21"/>
        <v>31-Dec-21</v>
      </c>
      <c r="D1360" t="s">
        <v>21</v>
      </c>
      <c r="E1360" t="s">
        <v>22</v>
      </c>
      <c r="F1360" t="str">
        <f>"6141011"</f>
        <v>6141011</v>
      </c>
      <c r="G1360" t="s">
        <v>1402</v>
      </c>
      <c r="I1360" t="s">
        <v>1334</v>
      </c>
      <c r="J1360">
        <v>0.031783453</v>
      </c>
      <c r="K1360">
        <v>89000</v>
      </c>
      <c r="L1360">
        <v>5993505.25</v>
      </c>
      <c r="M1360">
        <v>160921.1</v>
      </c>
      <c r="N1360">
        <v>94.7</v>
      </c>
      <c r="O1360">
        <v>8428300</v>
      </c>
      <c r="P1360">
        <v>267880.48</v>
      </c>
      <c r="Q1360">
        <v>0</v>
      </c>
      <c r="R1360">
        <v>0</v>
      </c>
      <c r="S1360">
        <v>0.133</v>
      </c>
      <c r="T1360" t="s">
        <v>25</v>
      </c>
    </row>
    <row r="1361" spans="1:20" ht="15">
      <c r="A1361" t="s">
        <v>19</v>
      </c>
      <c r="B1361" t="s">
        <v>20</v>
      </c>
      <c r="C1361" t="str">
        <f t="shared" si="21"/>
        <v>31-Dec-21</v>
      </c>
      <c r="D1361" t="s">
        <v>21</v>
      </c>
      <c r="E1361" t="s">
        <v>22</v>
      </c>
      <c r="F1361" t="str">
        <f>"6051422"</f>
        <v>6051422</v>
      </c>
      <c r="G1361" t="s">
        <v>1403</v>
      </c>
      <c r="I1361" t="s">
        <v>1334</v>
      </c>
      <c r="J1361">
        <v>0.031783453</v>
      </c>
      <c r="K1361">
        <v>16000</v>
      </c>
      <c r="L1361">
        <v>2075004.28</v>
      </c>
      <c r="M1361">
        <v>59003.28</v>
      </c>
      <c r="N1361">
        <v>580</v>
      </c>
      <c r="O1361">
        <v>9280000</v>
      </c>
      <c r="P1361">
        <v>294950.44</v>
      </c>
      <c r="Q1361">
        <v>0</v>
      </c>
      <c r="R1361">
        <v>0</v>
      </c>
      <c r="S1361">
        <v>0.146</v>
      </c>
      <c r="T1361" t="s">
        <v>25</v>
      </c>
    </row>
    <row r="1362" spans="1:20" ht="15">
      <c r="A1362" t="s">
        <v>19</v>
      </c>
      <c r="B1362" t="s">
        <v>20</v>
      </c>
      <c r="C1362" t="str">
        <f t="shared" si="21"/>
        <v>31-Dec-21</v>
      </c>
      <c r="D1362" t="s">
        <v>21</v>
      </c>
      <c r="E1362" t="s">
        <v>22</v>
      </c>
      <c r="F1362" t="str">
        <f>"B7LV1N0"</f>
        <v>B7LV1N0</v>
      </c>
      <c r="G1362" t="s">
        <v>1404</v>
      </c>
      <c r="I1362" t="s">
        <v>1334</v>
      </c>
      <c r="J1362">
        <v>0.031783453</v>
      </c>
      <c r="K1362">
        <v>111000</v>
      </c>
      <c r="L1362">
        <v>5987929.22</v>
      </c>
      <c r="M1362">
        <v>175970.59</v>
      </c>
      <c r="N1362">
        <v>47.25</v>
      </c>
      <c r="O1362">
        <v>5244750</v>
      </c>
      <c r="P1362">
        <v>166696.27</v>
      </c>
      <c r="Q1362">
        <v>0</v>
      </c>
      <c r="R1362">
        <v>0</v>
      </c>
      <c r="S1362">
        <v>0.083</v>
      </c>
      <c r="T1362" t="s">
        <v>25</v>
      </c>
    </row>
    <row r="1363" spans="1:20" ht="15">
      <c r="A1363" t="s">
        <v>19</v>
      </c>
      <c r="B1363" t="s">
        <v>20</v>
      </c>
      <c r="C1363" t="str">
        <f t="shared" si="21"/>
        <v>31-Dec-21</v>
      </c>
      <c r="D1363" t="s">
        <v>21</v>
      </c>
      <c r="E1363" t="s">
        <v>22</v>
      </c>
      <c r="F1363" t="str">
        <f>"6452586"</f>
        <v>6452586</v>
      </c>
      <c r="G1363" t="s">
        <v>1405</v>
      </c>
      <c r="I1363" t="s">
        <v>1334</v>
      </c>
      <c r="J1363">
        <v>0.031783453</v>
      </c>
      <c r="K1363">
        <v>440935</v>
      </c>
      <c r="L1363">
        <v>4002685.44</v>
      </c>
      <c r="M1363">
        <v>113054.14</v>
      </c>
      <c r="N1363">
        <v>11.05</v>
      </c>
      <c r="O1363">
        <v>4872331.75</v>
      </c>
      <c r="P1363">
        <v>154859.53</v>
      </c>
      <c r="Q1363">
        <v>0</v>
      </c>
      <c r="R1363">
        <v>0</v>
      </c>
      <c r="S1363">
        <v>0.077</v>
      </c>
      <c r="T1363" t="s">
        <v>25</v>
      </c>
    </row>
    <row r="1364" spans="1:20" ht="15">
      <c r="A1364" t="s">
        <v>19</v>
      </c>
      <c r="B1364" t="s">
        <v>20</v>
      </c>
      <c r="C1364" t="str">
        <f t="shared" si="21"/>
        <v>31-Dec-21</v>
      </c>
      <c r="D1364" t="s">
        <v>21</v>
      </c>
      <c r="E1364" t="s">
        <v>22</v>
      </c>
      <c r="F1364" t="str">
        <f>"BH4DMW9"</f>
        <v>BH4DMW9</v>
      </c>
      <c r="G1364" t="s">
        <v>1406</v>
      </c>
      <c r="I1364" t="s">
        <v>1334</v>
      </c>
      <c r="J1364">
        <v>0.031783453</v>
      </c>
      <c r="K1364">
        <v>2000</v>
      </c>
      <c r="L1364">
        <v>3434230.53</v>
      </c>
      <c r="M1364">
        <v>99763.7</v>
      </c>
      <c r="N1364">
        <v>5025</v>
      </c>
      <c r="O1364">
        <v>10050000</v>
      </c>
      <c r="P1364">
        <v>319423.7</v>
      </c>
      <c r="Q1364">
        <v>0</v>
      </c>
      <c r="R1364">
        <v>0</v>
      </c>
      <c r="S1364">
        <v>0.158</v>
      </c>
      <c r="T1364" t="s">
        <v>25</v>
      </c>
    </row>
    <row r="1365" spans="1:20" ht="15">
      <c r="A1365" t="s">
        <v>19</v>
      </c>
      <c r="B1365" t="s">
        <v>20</v>
      </c>
      <c r="C1365" t="str">
        <f t="shared" si="21"/>
        <v>31-Dec-21</v>
      </c>
      <c r="D1365" t="s">
        <v>21</v>
      </c>
      <c r="E1365" t="s">
        <v>22</v>
      </c>
      <c r="F1365" t="str">
        <f>"6335278"</f>
        <v>6335278</v>
      </c>
      <c r="G1365" t="s">
        <v>1407</v>
      </c>
      <c r="I1365" t="s">
        <v>1334</v>
      </c>
      <c r="J1365">
        <v>0.031783453</v>
      </c>
      <c r="K1365">
        <v>19000</v>
      </c>
      <c r="L1365">
        <v>3174269.35</v>
      </c>
      <c r="M1365">
        <v>93374.97</v>
      </c>
      <c r="N1365">
        <v>236</v>
      </c>
      <c r="O1365">
        <v>4484000</v>
      </c>
      <c r="P1365">
        <v>142517</v>
      </c>
      <c r="Q1365">
        <v>0</v>
      </c>
      <c r="R1365">
        <v>0</v>
      </c>
      <c r="S1365">
        <v>0.071</v>
      </c>
      <c r="T1365" t="s">
        <v>25</v>
      </c>
    </row>
    <row r="1366" spans="1:20" ht="15">
      <c r="A1366" t="s">
        <v>19</v>
      </c>
      <c r="B1366" t="s">
        <v>20</v>
      </c>
      <c r="C1366" t="str">
        <f t="shared" si="21"/>
        <v>31-Dec-21</v>
      </c>
      <c r="D1366" t="s">
        <v>21</v>
      </c>
      <c r="E1366" t="s">
        <v>22</v>
      </c>
      <c r="F1366" t="str">
        <f>"6525875"</f>
        <v>6525875</v>
      </c>
      <c r="G1366" t="s">
        <v>1408</v>
      </c>
      <c r="I1366" t="s">
        <v>1334</v>
      </c>
      <c r="J1366">
        <v>0.031783453</v>
      </c>
      <c r="K1366">
        <v>359302</v>
      </c>
      <c r="L1366">
        <v>3719545.54</v>
      </c>
      <c r="M1366">
        <v>99250.97</v>
      </c>
      <c r="N1366">
        <v>16.15</v>
      </c>
      <c r="O1366">
        <v>5802727.3</v>
      </c>
      <c r="P1366">
        <v>184430.71</v>
      </c>
      <c r="Q1366">
        <v>0</v>
      </c>
      <c r="R1366">
        <v>0</v>
      </c>
      <c r="S1366">
        <v>0.091</v>
      </c>
      <c r="T1366" t="s">
        <v>25</v>
      </c>
    </row>
    <row r="1367" spans="1:20" ht="15">
      <c r="A1367" t="s">
        <v>19</v>
      </c>
      <c r="B1367" t="s">
        <v>20</v>
      </c>
      <c r="C1367" t="str">
        <f t="shared" si="21"/>
        <v>31-Dec-21</v>
      </c>
      <c r="D1367" t="s">
        <v>21</v>
      </c>
      <c r="E1367" t="s">
        <v>22</v>
      </c>
      <c r="F1367" t="str">
        <f>"6868439"</f>
        <v>6868439</v>
      </c>
      <c r="G1367" t="s">
        <v>1409</v>
      </c>
      <c r="I1367" t="s">
        <v>1334</v>
      </c>
      <c r="J1367">
        <v>0.031783453</v>
      </c>
      <c r="K1367">
        <v>39050</v>
      </c>
      <c r="L1367">
        <v>1393297.8</v>
      </c>
      <c r="M1367">
        <v>39002.28</v>
      </c>
      <c r="N1367">
        <v>66.2</v>
      </c>
      <c r="O1367">
        <v>2585110</v>
      </c>
      <c r="P1367">
        <v>82163.72</v>
      </c>
      <c r="Q1367">
        <v>0</v>
      </c>
      <c r="R1367">
        <v>0</v>
      </c>
      <c r="S1367">
        <v>0.041</v>
      </c>
      <c r="T1367" t="s">
        <v>25</v>
      </c>
    </row>
    <row r="1368" spans="1:20" ht="15">
      <c r="A1368" t="s">
        <v>19</v>
      </c>
      <c r="B1368" t="s">
        <v>20</v>
      </c>
      <c r="C1368" t="str">
        <f t="shared" si="21"/>
        <v>31-Dec-21</v>
      </c>
      <c r="D1368" t="s">
        <v>21</v>
      </c>
      <c r="E1368" t="s">
        <v>22</v>
      </c>
      <c r="F1368" t="str">
        <f>"6451680"</f>
        <v>6451680</v>
      </c>
      <c r="G1368" t="s">
        <v>1410</v>
      </c>
      <c r="I1368" t="s">
        <v>1334</v>
      </c>
      <c r="J1368">
        <v>0.031783453</v>
      </c>
      <c r="K1368">
        <v>368588</v>
      </c>
      <c r="L1368">
        <v>4045718</v>
      </c>
      <c r="M1368">
        <v>109513.6</v>
      </c>
      <c r="N1368">
        <v>18.95</v>
      </c>
      <c r="O1368">
        <v>6984742.6</v>
      </c>
      <c r="P1368">
        <v>221999.24</v>
      </c>
      <c r="Q1368">
        <v>0</v>
      </c>
      <c r="R1368">
        <v>0</v>
      </c>
      <c r="S1368">
        <v>0.11</v>
      </c>
      <c r="T1368" t="s">
        <v>25</v>
      </c>
    </row>
    <row r="1369" spans="1:20" ht="15">
      <c r="A1369" t="s">
        <v>19</v>
      </c>
      <c r="B1369" t="s">
        <v>20</v>
      </c>
      <c r="C1369" t="str">
        <f t="shared" si="21"/>
        <v>31-Dec-21</v>
      </c>
      <c r="D1369" t="s">
        <v>21</v>
      </c>
      <c r="E1369" t="s">
        <v>22</v>
      </c>
      <c r="F1369" t="str">
        <f>"6098816"</f>
        <v>6098816</v>
      </c>
      <c r="G1369" t="s">
        <v>1411</v>
      </c>
      <c r="I1369" t="s">
        <v>1334</v>
      </c>
      <c r="J1369">
        <v>0.031783453</v>
      </c>
      <c r="K1369">
        <v>173818</v>
      </c>
      <c r="L1369">
        <v>1401907.87</v>
      </c>
      <c r="M1369">
        <v>38941.62</v>
      </c>
      <c r="N1369">
        <v>9.9</v>
      </c>
      <c r="O1369">
        <v>1720798.2</v>
      </c>
      <c r="P1369">
        <v>54692.91</v>
      </c>
      <c r="Q1369">
        <v>0</v>
      </c>
      <c r="R1369">
        <v>0</v>
      </c>
      <c r="S1369">
        <v>0.027</v>
      </c>
      <c r="T1369" t="s">
        <v>25</v>
      </c>
    </row>
    <row r="1370" spans="1:20" ht="15">
      <c r="A1370" t="s">
        <v>19</v>
      </c>
      <c r="B1370" t="s">
        <v>20</v>
      </c>
      <c r="C1370" t="str">
        <f t="shared" si="21"/>
        <v>31-Dec-21</v>
      </c>
      <c r="D1370" t="s">
        <v>21</v>
      </c>
      <c r="E1370" t="s">
        <v>22</v>
      </c>
      <c r="F1370" t="str">
        <f>"6869937"</f>
        <v>6869937</v>
      </c>
      <c r="G1370" t="s">
        <v>1412</v>
      </c>
      <c r="I1370" t="s">
        <v>1334</v>
      </c>
      <c r="J1370">
        <v>0.031783453</v>
      </c>
      <c r="K1370">
        <v>170220</v>
      </c>
      <c r="L1370">
        <v>5758363.34</v>
      </c>
      <c r="M1370">
        <v>158893.93</v>
      </c>
      <c r="N1370">
        <v>48</v>
      </c>
      <c r="O1370">
        <v>8170560</v>
      </c>
      <c r="P1370">
        <v>259688.61</v>
      </c>
      <c r="Q1370">
        <v>0</v>
      </c>
      <c r="R1370">
        <v>0</v>
      </c>
      <c r="S1370">
        <v>0.129</v>
      </c>
      <c r="T1370" t="s">
        <v>25</v>
      </c>
    </row>
    <row r="1371" spans="1:20" ht="15">
      <c r="A1371" t="s">
        <v>19</v>
      </c>
      <c r="B1371" t="s">
        <v>20</v>
      </c>
      <c r="C1371" t="str">
        <f t="shared" si="21"/>
        <v>31-Dec-21</v>
      </c>
      <c r="D1371" t="s">
        <v>21</v>
      </c>
      <c r="E1371" t="s">
        <v>22</v>
      </c>
      <c r="F1371" t="str">
        <f>"B73XCZ3"</f>
        <v>B73XCZ3</v>
      </c>
      <c r="G1371" t="s">
        <v>1413</v>
      </c>
      <c r="I1371" t="s">
        <v>1334</v>
      </c>
      <c r="J1371">
        <v>0.031783453</v>
      </c>
      <c r="K1371">
        <v>326545</v>
      </c>
      <c r="L1371">
        <v>4543673.92</v>
      </c>
      <c r="M1371">
        <v>125114.66</v>
      </c>
      <c r="N1371">
        <v>25.45</v>
      </c>
      <c r="O1371">
        <v>8310570.25</v>
      </c>
      <c r="P1371">
        <v>264138.62</v>
      </c>
      <c r="Q1371">
        <v>0</v>
      </c>
      <c r="R1371">
        <v>0</v>
      </c>
      <c r="S1371">
        <v>0.131</v>
      </c>
      <c r="T1371" t="s">
        <v>25</v>
      </c>
    </row>
    <row r="1372" spans="1:20" ht="15">
      <c r="A1372" t="s">
        <v>19</v>
      </c>
      <c r="B1372" t="s">
        <v>20</v>
      </c>
      <c r="C1372" t="str">
        <f t="shared" si="21"/>
        <v>31-Dec-21</v>
      </c>
      <c r="D1372" t="s">
        <v>21</v>
      </c>
      <c r="E1372" t="s">
        <v>22</v>
      </c>
      <c r="F1372" t="str">
        <f>"6109439"</f>
        <v>6109439</v>
      </c>
      <c r="G1372" t="s">
        <v>1414</v>
      </c>
      <c r="I1372" t="s">
        <v>1334</v>
      </c>
      <c r="J1372">
        <v>0.031783453</v>
      </c>
      <c r="K1372">
        <v>29000</v>
      </c>
      <c r="L1372">
        <v>1502910.3</v>
      </c>
      <c r="M1372">
        <v>40172.45</v>
      </c>
      <c r="N1372">
        <v>70</v>
      </c>
      <c r="O1372">
        <v>2030000</v>
      </c>
      <c r="P1372">
        <v>64520.41</v>
      </c>
      <c r="Q1372">
        <v>0</v>
      </c>
      <c r="R1372">
        <v>0</v>
      </c>
      <c r="S1372">
        <v>0.032</v>
      </c>
      <c r="T1372" t="s">
        <v>25</v>
      </c>
    </row>
    <row r="1373" spans="1:20" ht="15">
      <c r="A1373" t="s">
        <v>19</v>
      </c>
      <c r="B1373" t="s">
        <v>20</v>
      </c>
      <c r="C1373" t="str">
        <f t="shared" si="21"/>
        <v>31-Dec-21</v>
      </c>
      <c r="D1373" t="s">
        <v>21</v>
      </c>
      <c r="E1373" t="s">
        <v>22</v>
      </c>
      <c r="F1373" t="str">
        <f>"6870865"</f>
        <v>6870865</v>
      </c>
      <c r="G1373" t="s">
        <v>1415</v>
      </c>
      <c r="I1373" t="s">
        <v>1334</v>
      </c>
      <c r="J1373">
        <v>0.031783453</v>
      </c>
      <c r="K1373">
        <v>57519</v>
      </c>
      <c r="L1373">
        <v>948434.77</v>
      </c>
      <c r="M1373">
        <v>25913.13</v>
      </c>
      <c r="N1373">
        <v>26.75</v>
      </c>
      <c r="O1373">
        <v>1538633.25</v>
      </c>
      <c r="P1373">
        <v>48903.08</v>
      </c>
      <c r="Q1373">
        <v>0</v>
      </c>
      <c r="R1373">
        <v>0</v>
      </c>
      <c r="S1373">
        <v>0.024</v>
      </c>
      <c r="T1373" t="s">
        <v>25</v>
      </c>
    </row>
    <row r="1374" spans="1:20" ht="15">
      <c r="A1374" t="s">
        <v>19</v>
      </c>
      <c r="B1374" t="s">
        <v>20</v>
      </c>
      <c r="C1374" t="str">
        <f t="shared" si="21"/>
        <v>31-Dec-21</v>
      </c>
      <c r="D1374" t="s">
        <v>21</v>
      </c>
      <c r="E1374" t="s">
        <v>22</v>
      </c>
      <c r="F1374" t="str">
        <f>"B04BGQ6"</f>
        <v>B04BGQ6</v>
      </c>
      <c r="G1374" t="s">
        <v>1416</v>
      </c>
      <c r="I1374" t="s">
        <v>1334</v>
      </c>
      <c r="J1374">
        <v>0.031783453</v>
      </c>
      <c r="K1374">
        <v>63000</v>
      </c>
      <c r="L1374">
        <v>1694890.31</v>
      </c>
      <c r="M1374">
        <v>48751.81</v>
      </c>
      <c r="N1374">
        <v>29.6</v>
      </c>
      <c r="O1374">
        <v>1864800</v>
      </c>
      <c r="P1374">
        <v>59269.78</v>
      </c>
      <c r="Q1374">
        <v>0</v>
      </c>
      <c r="R1374">
        <v>0</v>
      </c>
      <c r="S1374">
        <v>0.029</v>
      </c>
      <c r="T1374" t="s">
        <v>25</v>
      </c>
    </row>
    <row r="1375" spans="1:20" ht="15">
      <c r="A1375" t="s">
        <v>19</v>
      </c>
      <c r="B1375" t="s">
        <v>20</v>
      </c>
      <c r="C1375" t="str">
        <f t="shared" si="21"/>
        <v>31-Dec-21</v>
      </c>
      <c r="D1375" t="s">
        <v>21</v>
      </c>
      <c r="E1375" t="s">
        <v>22</v>
      </c>
      <c r="F1375" t="str">
        <f>"6290496"</f>
        <v>6290496</v>
      </c>
      <c r="G1375" t="s">
        <v>1417</v>
      </c>
      <c r="I1375" t="s">
        <v>1334</v>
      </c>
      <c r="J1375">
        <v>0.031783453</v>
      </c>
      <c r="K1375">
        <v>55000</v>
      </c>
      <c r="L1375">
        <v>5412560.48</v>
      </c>
      <c r="M1375">
        <v>145815.14</v>
      </c>
      <c r="N1375">
        <v>100</v>
      </c>
      <c r="O1375">
        <v>5500000</v>
      </c>
      <c r="P1375">
        <v>174808.99</v>
      </c>
      <c r="Q1375">
        <v>0</v>
      </c>
      <c r="R1375">
        <v>0</v>
      </c>
      <c r="S1375">
        <v>0.087</v>
      </c>
      <c r="T1375" t="s">
        <v>25</v>
      </c>
    </row>
    <row r="1376" spans="1:20" ht="15">
      <c r="A1376" t="s">
        <v>19</v>
      </c>
      <c r="B1376" t="s">
        <v>20</v>
      </c>
      <c r="C1376" t="str">
        <f t="shared" si="21"/>
        <v>31-Dec-21</v>
      </c>
      <c r="D1376" t="s">
        <v>21</v>
      </c>
      <c r="E1376" t="s">
        <v>22</v>
      </c>
      <c r="F1376" t="str">
        <f>"6877811"</f>
        <v>6877811</v>
      </c>
      <c r="G1376" t="s">
        <v>1418</v>
      </c>
      <c r="I1376" t="s">
        <v>1334</v>
      </c>
      <c r="J1376">
        <v>0.031783453</v>
      </c>
      <c r="K1376">
        <v>9315</v>
      </c>
      <c r="L1376">
        <v>642621.03</v>
      </c>
      <c r="M1376">
        <v>16199.74</v>
      </c>
      <c r="N1376">
        <v>104</v>
      </c>
      <c r="O1376">
        <v>968760</v>
      </c>
      <c r="P1376">
        <v>30790.54</v>
      </c>
      <c r="Q1376">
        <v>0</v>
      </c>
      <c r="R1376">
        <v>0</v>
      </c>
      <c r="S1376">
        <v>0.015</v>
      </c>
      <c r="T1376" t="s">
        <v>25</v>
      </c>
    </row>
    <row r="1377" spans="1:20" ht="15">
      <c r="A1377" t="s">
        <v>19</v>
      </c>
      <c r="B1377" t="s">
        <v>20</v>
      </c>
      <c r="C1377" t="str">
        <f t="shared" si="21"/>
        <v>31-Dec-21</v>
      </c>
      <c r="D1377" t="s">
        <v>21</v>
      </c>
      <c r="E1377" t="s">
        <v>22</v>
      </c>
      <c r="F1377" t="str">
        <f>"6889106"</f>
        <v>6889106</v>
      </c>
      <c r="G1377" t="s">
        <v>1419</v>
      </c>
      <c r="I1377" t="s">
        <v>1334</v>
      </c>
      <c r="J1377">
        <v>0.031783453</v>
      </c>
      <c r="K1377">
        <v>772500</v>
      </c>
      <c r="L1377">
        <v>185368963.16</v>
      </c>
      <c r="M1377">
        <v>5322121.6</v>
      </c>
      <c r="N1377">
        <v>615</v>
      </c>
      <c r="O1377">
        <v>475087500</v>
      </c>
      <c r="P1377">
        <v>15099921.26</v>
      </c>
      <c r="Q1377">
        <v>1699500</v>
      </c>
      <c r="R1377">
        <v>54015.98</v>
      </c>
      <c r="S1377">
        <v>7.512</v>
      </c>
      <c r="T1377" t="s">
        <v>25</v>
      </c>
    </row>
    <row r="1378" spans="1:20" ht="15">
      <c r="A1378" t="s">
        <v>19</v>
      </c>
      <c r="B1378" t="s">
        <v>20</v>
      </c>
      <c r="C1378" t="str">
        <f t="shared" si="21"/>
        <v>31-Dec-21</v>
      </c>
      <c r="D1378" t="s">
        <v>21</v>
      </c>
      <c r="E1378" t="s">
        <v>22</v>
      </c>
      <c r="F1378" t="str">
        <f>"6879851"</f>
        <v>6879851</v>
      </c>
      <c r="G1378" t="s">
        <v>1420</v>
      </c>
      <c r="I1378" t="s">
        <v>1334</v>
      </c>
      <c r="J1378">
        <v>0.031783453</v>
      </c>
      <c r="K1378">
        <v>63000</v>
      </c>
      <c r="L1378">
        <v>1793622.21</v>
      </c>
      <c r="M1378">
        <v>49792.07</v>
      </c>
      <c r="N1378">
        <v>31.65</v>
      </c>
      <c r="O1378">
        <v>1993950</v>
      </c>
      <c r="P1378">
        <v>63374.62</v>
      </c>
      <c r="Q1378">
        <v>0</v>
      </c>
      <c r="R1378">
        <v>0</v>
      </c>
      <c r="S1378">
        <v>0.031</v>
      </c>
      <c r="T1378" t="s">
        <v>25</v>
      </c>
    </row>
    <row r="1379" spans="1:20" ht="15">
      <c r="A1379" t="s">
        <v>19</v>
      </c>
      <c r="B1379" t="s">
        <v>20</v>
      </c>
      <c r="C1379" t="str">
        <f t="shared" si="21"/>
        <v>31-Dec-21</v>
      </c>
      <c r="D1379" t="s">
        <v>21</v>
      </c>
      <c r="E1379" t="s">
        <v>22</v>
      </c>
      <c r="F1379" t="str">
        <f>"6700393"</f>
        <v>6700393</v>
      </c>
      <c r="G1379" t="s">
        <v>1421</v>
      </c>
      <c r="I1379" t="s">
        <v>1334</v>
      </c>
      <c r="J1379">
        <v>0.031783453</v>
      </c>
      <c r="K1379">
        <v>156252</v>
      </c>
      <c r="L1379">
        <v>9189256.31</v>
      </c>
      <c r="M1379">
        <v>257590.33</v>
      </c>
      <c r="N1379">
        <v>68.6</v>
      </c>
      <c r="O1379">
        <v>10718887.2</v>
      </c>
      <c r="P1379">
        <v>340683.25</v>
      </c>
      <c r="Q1379">
        <v>0</v>
      </c>
      <c r="R1379">
        <v>0</v>
      </c>
      <c r="S1379">
        <v>0.169</v>
      </c>
      <c r="T1379" t="s">
        <v>25</v>
      </c>
    </row>
    <row r="1380" spans="1:20" ht="15">
      <c r="A1380" t="s">
        <v>19</v>
      </c>
      <c r="B1380" t="s">
        <v>20</v>
      </c>
      <c r="C1380" t="str">
        <f t="shared" si="21"/>
        <v>31-Dec-21</v>
      </c>
      <c r="D1380" t="s">
        <v>21</v>
      </c>
      <c r="E1380" t="s">
        <v>22</v>
      </c>
      <c r="F1380" t="str">
        <f>"6137720"</f>
        <v>6137720</v>
      </c>
      <c r="G1380" t="s">
        <v>1422</v>
      </c>
      <c r="I1380" t="s">
        <v>1334</v>
      </c>
      <c r="J1380">
        <v>0.031783453</v>
      </c>
      <c r="K1380">
        <v>44000</v>
      </c>
      <c r="L1380">
        <v>1067268.1</v>
      </c>
      <c r="M1380">
        <v>29880.04</v>
      </c>
      <c r="N1380">
        <v>231</v>
      </c>
      <c r="O1380">
        <v>10164000</v>
      </c>
      <c r="P1380">
        <v>323047.02</v>
      </c>
      <c r="Q1380">
        <v>0</v>
      </c>
      <c r="R1380">
        <v>0</v>
      </c>
      <c r="S1380">
        <v>0.16</v>
      </c>
      <c r="T1380" t="s">
        <v>25</v>
      </c>
    </row>
    <row r="1381" spans="1:20" ht="15">
      <c r="A1381" t="s">
        <v>19</v>
      </c>
      <c r="B1381" t="s">
        <v>20</v>
      </c>
      <c r="C1381" t="str">
        <f t="shared" si="21"/>
        <v>31-Dec-21</v>
      </c>
      <c r="D1381" t="s">
        <v>21</v>
      </c>
      <c r="E1381" t="s">
        <v>22</v>
      </c>
      <c r="F1381" t="str">
        <f>"6916628"</f>
        <v>6916628</v>
      </c>
      <c r="G1381" t="s">
        <v>1423</v>
      </c>
      <c r="I1381" t="s">
        <v>1334</v>
      </c>
      <c r="J1381">
        <v>0.031783453</v>
      </c>
      <c r="K1381">
        <v>371000</v>
      </c>
      <c r="L1381">
        <v>5245645.4</v>
      </c>
      <c r="M1381">
        <v>142091.44</v>
      </c>
      <c r="N1381">
        <v>65</v>
      </c>
      <c r="O1381">
        <v>24115000</v>
      </c>
      <c r="P1381">
        <v>766457.97</v>
      </c>
      <c r="Q1381">
        <v>0</v>
      </c>
      <c r="R1381">
        <v>0</v>
      </c>
      <c r="S1381">
        <v>0.38</v>
      </c>
      <c r="T1381" t="s">
        <v>25</v>
      </c>
    </row>
    <row r="1382" spans="1:20" ht="15">
      <c r="A1382" t="s">
        <v>19</v>
      </c>
      <c r="B1382" t="s">
        <v>20</v>
      </c>
      <c r="C1382" t="str">
        <f t="shared" si="21"/>
        <v>31-Dec-21</v>
      </c>
      <c r="D1382" t="s">
        <v>21</v>
      </c>
      <c r="E1382" t="s">
        <v>22</v>
      </c>
      <c r="F1382" t="str">
        <f>"6109677"</f>
        <v>6109677</v>
      </c>
      <c r="G1382" t="s">
        <v>1424</v>
      </c>
      <c r="I1382" t="s">
        <v>1334</v>
      </c>
      <c r="J1382">
        <v>0.031783453</v>
      </c>
      <c r="K1382">
        <v>31000</v>
      </c>
      <c r="L1382">
        <v>1743873.48</v>
      </c>
      <c r="M1382">
        <v>48827.66</v>
      </c>
      <c r="N1382">
        <v>158</v>
      </c>
      <c r="O1382">
        <v>4898000</v>
      </c>
      <c r="P1382">
        <v>155675.35</v>
      </c>
      <c r="Q1382">
        <v>0</v>
      </c>
      <c r="R1382">
        <v>0</v>
      </c>
      <c r="S1382">
        <v>0.077</v>
      </c>
      <c r="T1382" t="s">
        <v>25</v>
      </c>
    </row>
    <row r="1383" spans="1:20" ht="15">
      <c r="A1383" t="s">
        <v>19</v>
      </c>
      <c r="B1383" t="s">
        <v>20</v>
      </c>
      <c r="C1383" t="str">
        <f t="shared" si="21"/>
        <v>31-Dec-21</v>
      </c>
      <c r="D1383" t="s">
        <v>21</v>
      </c>
      <c r="E1383" t="s">
        <v>22</v>
      </c>
      <c r="F1383" t="str">
        <f>"B96HCH8"</f>
        <v>B96HCH8</v>
      </c>
      <c r="G1383" t="s">
        <v>1425</v>
      </c>
      <c r="I1383" t="s">
        <v>1334</v>
      </c>
      <c r="J1383">
        <v>0.031783453</v>
      </c>
      <c r="K1383">
        <v>1000</v>
      </c>
      <c r="L1383">
        <v>1630652</v>
      </c>
      <c r="M1383">
        <v>50171.18</v>
      </c>
      <c r="N1383">
        <v>1545</v>
      </c>
      <c r="O1383">
        <v>1545000</v>
      </c>
      <c r="P1383">
        <v>49105.44</v>
      </c>
      <c r="Q1383">
        <v>0</v>
      </c>
      <c r="R1383">
        <v>0</v>
      </c>
      <c r="S1383">
        <v>0.024</v>
      </c>
      <c r="T1383" t="s">
        <v>25</v>
      </c>
    </row>
    <row r="1384" spans="1:20" ht="15">
      <c r="A1384" t="s">
        <v>19</v>
      </c>
      <c r="B1384" t="s">
        <v>20</v>
      </c>
      <c r="C1384" t="str">
        <f t="shared" si="21"/>
        <v>31-Dec-21</v>
      </c>
      <c r="D1384" t="s">
        <v>21</v>
      </c>
      <c r="E1384" t="s">
        <v>22</v>
      </c>
      <c r="F1384" t="str">
        <f>"6936574"</f>
        <v>6936574</v>
      </c>
      <c r="G1384" t="s">
        <v>1426</v>
      </c>
      <c r="I1384" t="s">
        <v>1334</v>
      </c>
      <c r="J1384">
        <v>0.031783453</v>
      </c>
      <c r="K1384">
        <v>110000</v>
      </c>
      <c r="L1384">
        <v>1190119.29</v>
      </c>
      <c r="M1384">
        <v>32936.29</v>
      </c>
      <c r="N1384">
        <v>26.5</v>
      </c>
      <c r="O1384">
        <v>2915000</v>
      </c>
      <c r="P1384">
        <v>92648.77</v>
      </c>
      <c r="Q1384">
        <v>0</v>
      </c>
      <c r="R1384">
        <v>0</v>
      </c>
      <c r="S1384">
        <v>0.046</v>
      </c>
      <c r="T1384" t="s">
        <v>25</v>
      </c>
    </row>
    <row r="1385" spans="1:20" ht="15">
      <c r="A1385" t="s">
        <v>19</v>
      </c>
      <c r="B1385" t="s">
        <v>20</v>
      </c>
      <c r="C1385" t="str">
        <f t="shared" si="21"/>
        <v>31-Dec-21</v>
      </c>
      <c r="D1385" t="s">
        <v>21</v>
      </c>
      <c r="E1385" t="s">
        <v>22</v>
      </c>
      <c r="F1385" t="str">
        <f>"6089694"</f>
        <v>6089694</v>
      </c>
      <c r="G1385" t="s">
        <v>1427</v>
      </c>
      <c r="I1385" t="s">
        <v>1334</v>
      </c>
      <c r="J1385">
        <v>0.031783453</v>
      </c>
      <c r="K1385">
        <v>17000</v>
      </c>
      <c r="L1385">
        <v>4065129.05</v>
      </c>
      <c r="M1385">
        <v>113639.19</v>
      </c>
      <c r="N1385">
        <v>167</v>
      </c>
      <c r="O1385">
        <v>2839000</v>
      </c>
      <c r="P1385">
        <v>90233.22</v>
      </c>
      <c r="Q1385">
        <v>0</v>
      </c>
      <c r="R1385">
        <v>0</v>
      </c>
      <c r="S1385">
        <v>0.045</v>
      </c>
      <c r="T1385" t="s">
        <v>25</v>
      </c>
    </row>
    <row r="1386" spans="1:20" ht="15">
      <c r="A1386" t="s">
        <v>19</v>
      </c>
      <c r="B1386" t="s">
        <v>20</v>
      </c>
      <c r="C1386" t="str">
        <f t="shared" si="21"/>
        <v>31-Dec-21</v>
      </c>
      <c r="D1386" t="s">
        <v>21</v>
      </c>
      <c r="E1386" t="s">
        <v>22</v>
      </c>
      <c r="F1386" t="str">
        <f>"6932334"</f>
        <v>6932334</v>
      </c>
      <c r="G1386" t="s">
        <v>1428</v>
      </c>
      <c r="I1386" t="s">
        <v>1334</v>
      </c>
      <c r="J1386">
        <v>0.031783453</v>
      </c>
      <c r="K1386">
        <v>27700</v>
      </c>
      <c r="L1386">
        <v>523279.84</v>
      </c>
      <c r="M1386">
        <v>14528.91</v>
      </c>
      <c r="N1386">
        <v>198.5</v>
      </c>
      <c r="O1386">
        <v>5498450</v>
      </c>
      <c r="P1386">
        <v>174759.73</v>
      </c>
      <c r="Q1386">
        <v>0</v>
      </c>
      <c r="R1386">
        <v>0</v>
      </c>
      <c r="S1386">
        <v>0.087</v>
      </c>
      <c r="T1386" t="s">
        <v>25</v>
      </c>
    </row>
    <row r="1387" spans="1:20" ht="15">
      <c r="A1387" t="s">
        <v>19</v>
      </c>
      <c r="B1387" t="s">
        <v>20</v>
      </c>
      <c r="C1387" t="str">
        <f t="shared" si="21"/>
        <v>31-Dec-21</v>
      </c>
      <c r="D1387" t="s">
        <v>21</v>
      </c>
      <c r="E1387" t="s">
        <v>22</v>
      </c>
      <c r="F1387" t="str">
        <f>"B56LHP5"</f>
        <v>B56LHP5</v>
      </c>
      <c r="G1387" t="s">
        <v>1429</v>
      </c>
      <c r="I1387" t="s">
        <v>1334</v>
      </c>
      <c r="J1387">
        <v>0.031783453</v>
      </c>
      <c r="K1387">
        <v>14000</v>
      </c>
      <c r="L1387">
        <v>3707346.11</v>
      </c>
      <c r="M1387">
        <v>112390.19</v>
      </c>
      <c r="N1387">
        <v>374.5</v>
      </c>
      <c r="O1387">
        <v>5243000</v>
      </c>
      <c r="P1387">
        <v>166640.64</v>
      </c>
      <c r="Q1387">
        <v>0</v>
      </c>
      <c r="R1387">
        <v>0</v>
      </c>
      <c r="S1387">
        <v>0.083</v>
      </c>
      <c r="T1387" t="s">
        <v>25</v>
      </c>
    </row>
    <row r="1388" spans="1:20" ht="15">
      <c r="A1388" t="s">
        <v>19</v>
      </c>
      <c r="B1388" t="s">
        <v>20</v>
      </c>
      <c r="C1388" t="str">
        <f t="shared" si="21"/>
        <v>31-Dec-21</v>
      </c>
      <c r="D1388" t="s">
        <v>21</v>
      </c>
      <c r="E1388" t="s">
        <v>22</v>
      </c>
      <c r="F1388" t="str">
        <f>"6966515"</f>
        <v>6966515</v>
      </c>
      <c r="G1388" t="s">
        <v>1430</v>
      </c>
      <c r="I1388" t="s">
        <v>1334</v>
      </c>
      <c r="J1388">
        <v>0.031783453</v>
      </c>
      <c r="K1388">
        <v>102000</v>
      </c>
      <c r="L1388">
        <v>2867346.62</v>
      </c>
      <c r="M1388">
        <v>84346.46</v>
      </c>
      <c r="N1388">
        <v>34</v>
      </c>
      <c r="O1388">
        <v>3468000</v>
      </c>
      <c r="P1388">
        <v>110225.02</v>
      </c>
      <c r="Q1388">
        <v>0</v>
      </c>
      <c r="R1388">
        <v>0</v>
      </c>
      <c r="S1388">
        <v>0.055</v>
      </c>
      <c r="T1388" t="s">
        <v>25</v>
      </c>
    </row>
    <row r="1389" spans="1:20" ht="15">
      <c r="A1389" t="s">
        <v>19</v>
      </c>
      <c r="B1389" t="s">
        <v>20</v>
      </c>
      <c r="C1389" t="str">
        <f t="shared" si="21"/>
        <v>31-Dec-21</v>
      </c>
      <c r="D1389" t="s">
        <v>21</v>
      </c>
      <c r="E1389" t="s">
        <v>22</v>
      </c>
      <c r="F1389" t="str">
        <f>"6672481"</f>
        <v>6672481</v>
      </c>
      <c r="G1389" t="s">
        <v>1431</v>
      </c>
      <c r="I1389" t="s">
        <v>1334</v>
      </c>
      <c r="J1389">
        <v>0.031783453</v>
      </c>
      <c r="K1389">
        <v>87496</v>
      </c>
      <c r="L1389">
        <v>1996558.45</v>
      </c>
      <c r="M1389">
        <v>54991.46</v>
      </c>
      <c r="N1389">
        <v>29.15</v>
      </c>
      <c r="O1389">
        <v>2550508.4</v>
      </c>
      <c r="P1389">
        <v>81063.96</v>
      </c>
      <c r="Q1389">
        <v>0</v>
      </c>
      <c r="R1389">
        <v>0</v>
      </c>
      <c r="S1389">
        <v>0.04</v>
      </c>
      <c r="T1389" t="s">
        <v>25</v>
      </c>
    </row>
    <row r="1390" spans="1:20" ht="15">
      <c r="A1390" t="s">
        <v>19</v>
      </c>
      <c r="B1390" t="s">
        <v>20</v>
      </c>
      <c r="C1390" t="str">
        <f t="shared" si="21"/>
        <v>31-Dec-21</v>
      </c>
      <c r="D1390" t="s">
        <v>21</v>
      </c>
      <c r="E1390" t="s">
        <v>22</v>
      </c>
      <c r="F1390" t="str">
        <f>"BF4QXG5"</f>
        <v>BF4QXG5</v>
      </c>
      <c r="G1390" t="s">
        <v>1432</v>
      </c>
      <c r="I1390" t="s">
        <v>1334</v>
      </c>
      <c r="J1390">
        <v>0.031783453</v>
      </c>
      <c r="K1390">
        <v>3000</v>
      </c>
      <c r="L1390">
        <v>2162757.66</v>
      </c>
      <c r="M1390">
        <v>65400.37</v>
      </c>
      <c r="N1390">
        <v>1115</v>
      </c>
      <c r="O1390">
        <v>3345000</v>
      </c>
      <c r="P1390">
        <v>106315.65</v>
      </c>
      <c r="Q1390">
        <v>0</v>
      </c>
      <c r="R1390">
        <v>0</v>
      </c>
      <c r="S1390">
        <v>0.053</v>
      </c>
      <c r="T1390" t="s">
        <v>25</v>
      </c>
    </row>
    <row r="1391" spans="1:20" ht="15">
      <c r="A1391" t="s">
        <v>19</v>
      </c>
      <c r="B1391" t="s">
        <v>20</v>
      </c>
      <c r="C1391" t="str">
        <f t="shared" si="21"/>
        <v>31-Dec-21</v>
      </c>
      <c r="D1391" t="s">
        <v>21</v>
      </c>
      <c r="E1391" t="s">
        <v>22</v>
      </c>
      <c r="F1391" t="str">
        <f>"6984380"</f>
        <v>6984380</v>
      </c>
      <c r="G1391" t="s">
        <v>1433</v>
      </c>
      <c r="I1391" t="s">
        <v>1334</v>
      </c>
      <c r="J1391">
        <v>0.031783453</v>
      </c>
      <c r="K1391">
        <v>15000</v>
      </c>
      <c r="L1391">
        <v>7372546.26</v>
      </c>
      <c r="M1391">
        <v>207777.25</v>
      </c>
      <c r="N1391">
        <v>479.5</v>
      </c>
      <c r="O1391">
        <v>7192500</v>
      </c>
      <c r="P1391">
        <v>228602.49</v>
      </c>
      <c r="Q1391">
        <v>0</v>
      </c>
      <c r="R1391">
        <v>0</v>
      </c>
      <c r="S1391">
        <v>0.113</v>
      </c>
      <c r="T1391" t="s">
        <v>25</v>
      </c>
    </row>
    <row r="1392" spans="1:20" ht="15">
      <c r="A1392" t="s">
        <v>19</v>
      </c>
      <c r="B1392" t="s">
        <v>20</v>
      </c>
      <c r="C1392" t="str">
        <f t="shared" si="21"/>
        <v>31-Dec-21</v>
      </c>
      <c r="D1392" t="s">
        <v>21</v>
      </c>
      <c r="E1392" t="s">
        <v>22</v>
      </c>
      <c r="F1392" t="str">
        <f>"6987583"</f>
        <v>6987583</v>
      </c>
      <c r="G1392" t="s">
        <v>1434</v>
      </c>
      <c r="I1392" t="s">
        <v>1334</v>
      </c>
      <c r="J1392">
        <v>0.031783453</v>
      </c>
      <c r="K1392">
        <v>57000</v>
      </c>
      <c r="L1392">
        <v>6988012.69</v>
      </c>
      <c r="M1392">
        <v>214788.58</v>
      </c>
      <c r="N1392">
        <v>121</v>
      </c>
      <c r="O1392">
        <v>6897000</v>
      </c>
      <c r="P1392">
        <v>219210.48</v>
      </c>
      <c r="Q1392">
        <v>0</v>
      </c>
      <c r="R1392">
        <v>0</v>
      </c>
      <c r="S1392">
        <v>0.109</v>
      </c>
      <c r="T1392" t="s">
        <v>25</v>
      </c>
    </row>
    <row r="1393" spans="1:20" ht="15">
      <c r="A1393" t="s">
        <v>19</v>
      </c>
      <c r="B1393" t="s">
        <v>20</v>
      </c>
      <c r="C1393" t="str">
        <f t="shared" si="21"/>
        <v>31-Dec-21</v>
      </c>
      <c r="D1393" t="s">
        <v>21</v>
      </c>
      <c r="E1393" t="s">
        <v>22</v>
      </c>
      <c r="F1393" t="str">
        <f>"6424110"</f>
        <v>6424110</v>
      </c>
      <c r="G1393" t="s">
        <v>1435</v>
      </c>
      <c r="I1393" t="s">
        <v>1334</v>
      </c>
      <c r="J1393">
        <v>0.031783453</v>
      </c>
      <c r="K1393">
        <v>394700</v>
      </c>
      <c r="L1393">
        <v>5650672.41</v>
      </c>
      <c r="M1393">
        <v>151772.85</v>
      </c>
      <c r="N1393">
        <v>25.3</v>
      </c>
      <c r="O1393">
        <v>9985910</v>
      </c>
      <c r="P1393">
        <v>317386.7</v>
      </c>
      <c r="Q1393">
        <v>0</v>
      </c>
      <c r="R1393">
        <v>0</v>
      </c>
      <c r="S1393">
        <v>0.157</v>
      </c>
      <c r="T1393" t="s">
        <v>25</v>
      </c>
    </row>
    <row r="1394" spans="1:20" ht="15">
      <c r="A1394" t="s">
        <v>19</v>
      </c>
      <c r="B1394" t="s">
        <v>20</v>
      </c>
      <c r="C1394" t="str">
        <f t="shared" si="21"/>
        <v>31-Dec-21</v>
      </c>
      <c r="D1394" t="s">
        <v>21</v>
      </c>
      <c r="E1394" t="s">
        <v>22</v>
      </c>
      <c r="F1394" t="str">
        <f>"6988597"</f>
        <v>6988597</v>
      </c>
      <c r="G1394" t="s">
        <v>1436</v>
      </c>
      <c r="I1394" t="s">
        <v>1334</v>
      </c>
      <c r="J1394">
        <v>0.031783453</v>
      </c>
      <c r="K1394">
        <v>22000</v>
      </c>
      <c r="L1394">
        <v>948579</v>
      </c>
      <c r="M1394">
        <v>30071.34</v>
      </c>
      <c r="N1394">
        <v>41.9</v>
      </c>
      <c r="O1394">
        <v>921800</v>
      </c>
      <c r="P1394">
        <v>29297.99</v>
      </c>
      <c r="Q1394">
        <v>0</v>
      </c>
      <c r="R1394">
        <v>0</v>
      </c>
      <c r="S1394">
        <v>0.015</v>
      </c>
      <c r="T1394" t="s">
        <v>25</v>
      </c>
    </row>
    <row r="1395" spans="1:20" ht="15">
      <c r="A1395" t="s">
        <v>19</v>
      </c>
      <c r="B1395" t="s">
        <v>20</v>
      </c>
      <c r="C1395" t="str">
        <f t="shared" si="21"/>
        <v>31-Dec-21</v>
      </c>
      <c r="D1395" t="s">
        <v>21</v>
      </c>
      <c r="E1395" t="s">
        <v>22</v>
      </c>
      <c r="F1395" t="str">
        <f>"B734XQ4"</f>
        <v>B734XQ4</v>
      </c>
      <c r="G1395" t="s">
        <v>1437</v>
      </c>
      <c r="I1395" t="s">
        <v>1334</v>
      </c>
      <c r="J1395">
        <v>0.031783453</v>
      </c>
      <c r="K1395">
        <v>22000</v>
      </c>
      <c r="L1395">
        <v>2668590.51</v>
      </c>
      <c r="M1395">
        <v>80700.56</v>
      </c>
      <c r="N1395">
        <v>100.5</v>
      </c>
      <c r="O1395">
        <v>2211000</v>
      </c>
      <c r="P1395">
        <v>70273.21</v>
      </c>
      <c r="Q1395">
        <v>0</v>
      </c>
      <c r="R1395">
        <v>0</v>
      </c>
      <c r="S1395">
        <v>0.035</v>
      </c>
      <c r="T1395" t="s">
        <v>25</v>
      </c>
    </row>
    <row r="1396" spans="1:20" ht="15">
      <c r="A1396" t="s">
        <v>19</v>
      </c>
      <c r="B1396" t="s">
        <v>20</v>
      </c>
      <c r="C1396" t="str">
        <f t="shared" si="21"/>
        <v>31-Dec-21</v>
      </c>
      <c r="D1396" t="s">
        <v>21</v>
      </c>
      <c r="E1396" t="s">
        <v>22</v>
      </c>
      <c r="F1396" t="str">
        <f>"BJYP111"</f>
        <v>BJYP111</v>
      </c>
      <c r="G1396" t="s">
        <v>1438</v>
      </c>
      <c r="I1396" t="s">
        <v>1334</v>
      </c>
      <c r="J1396">
        <v>0.031783453</v>
      </c>
      <c r="K1396">
        <v>1860</v>
      </c>
      <c r="L1396">
        <v>1020416.16</v>
      </c>
      <c r="M1396">
        <v>29627.62</v>
      </c>
      <c r="N1396">
        <v>1625</v>
      </c>
      <c r="O1396">
        <v>3022500</v>
      </c>
      <c r="P1396">
        <v>96065.49</v>
      </c>
      <c r="Q1396">
        <v>0</v>
      </c>
      <c r="R1396">
        <v>0</v>
      </c>
      <c r="S1396">
        <v>0.048</v>
      </c>
      <c r="T1396" t="s">
        <v>25</v>
      </c>
    </row>
    <row r="1397" spans="1:20" ht="15">
      <c r="A1397" t="s">
        <v>19</v>
      </c>
      <c r="B1397" t="s">
        <v>20</v>
      </c>
      <c r="C1397" t="str">
        <f t="shared" si="21"/>
        <v>31-Dec-21</v>
      </c>
      <c r="D1397" t="s">
        <v>21</v>
      </c>
      <c r="E1397" t="s">
        <v>39</v>
      </c>
      <c r="I1397" t="s">
        <v>1334</v>
      </c>
      <c r="J1397">
        <v>0.031783453</v>
      </c>
      <c r="K1397">
        <v>0</v>
      </c>
      <c r="L1397">
        <v>1751602.28</v>
      </c>
      <c r="M1397">
        <v>55980.62</v>
      </c>
      <c r="N1397">
        <v>0</v>
      </c>
      <c r="O1397">
        <v>1751602.28</v>
      </c>
      <c r="P1397">
        <v>55671.97</v>
      </c>
      <c r="Q1397">
        <v>0</v>
      </c>
      <c r="R1397">
        <v>0</v>
      </c>
      <c r="S1397">
        <v>0.028</v>
      </c>
      <c r="T1397" t="s">
        <v>1122</v>
      </c>
    </row>
    <row r="1398" spans="1:20" ht="15">
      <c r="A1398" t="s">
        <v>19</v>
      </c>
      <c r="B1398" t="s">
        <v>20</v>
      </c>
      <c r="C1398" t="str">
        <f t="shared" si="21"/>
        <v>31-Dec-21</v>
      </c>
      <c r="D1398" t="s">
        <v>21</v>
      </c>
      <c r="E1398" t="s">
        <v>22</v>
      </c>
      <c r="F1398" t="str">
        <f>"88557W101"</f>
        <v>88557W101</v>
      </c>
      <c r="G1398" t="s">
        <v>1439</v>
      </c>
      <c r="I1398" t="s">
        <v>1440</v>
      </c>
      <c r="J1398">
        <v>0.879352796</v>
      </c>
      <c r="K1398">
        <v>3704</v>
      </c>
      <c r="L1398">
        <v>77113.95</v>
      </c>
      <c r="M1398">
        <v>65701.58</v>
      </c>
      <c r="N1398">
        <v>22.93</v>
      </c>
      <c r="O1398">
        <v>84932.72</v>
      </c>
      <c r="P1398">
        <v>74685.82</v>
      </c>
      <c r="Q1398">
        <v>1037.12</v>
      </c>
      <c r="R1398">
        <v>911.99</v>
      </c>
      <c r="S1398">
        <v>0.037</v>
      </c>
      <c r="T1398" t="s">
        <v>25</v>
      </c>
    </row>
    <row r="1399" spans="1:20" ht="15">
      <c r="A1399" t="s">
        <v>19</v>
      </c>
      <c r="B1399" t="s">
        <v>20</v>
      </c>
      <c r="C1399" t="str">
        <f t="shared" si="21"/>
        <v>31-Dec-21</v>
      </c>
      <c r="D1399" t="s">
        <v>21</v>
      </c>
      <c r="E1399" t="s">
        <v>22</v>
      </c>
      <c r="F1399" t="str">
        <f>"316827104"</f>
        <v>316827104</v>
      </c>
      <c r="G1399" t="s">
        <v>1441</v>
      </c>
      <c r="I1399" t="s">
        <v>1440</v>
      </c>
      <c r="J1399">
        <v>0.879352796</v>
      </c>
      <c r="K1399">
        <v>1201</v>
      </c>
      <c r="L1399">
        <v>89298.85</v>
      </c>
      <c r="M1399">
        <v>75965.69</v>
      </c>
      <c r="N1399">
        <v>48.93</v>
      </c>
      <c r="O1399">
        <v>58764.93</v>
      </c>
      <c r="P1399">
        <v>51675.11</v>
      </c>
      <c r="Q1399">
        <v>0</v>
      </c>
      <c r="R1399">
        <v>0</v>
      </c>
      <c r="S1399">
        <v>0.026</v>
      </c>
      <c r="T1399" t="s">
        <v>25</v>
      </c>
    </row>
    <row r="1400" spans="1:20" ht="15">
      <c r="A1400" t="s">
        <v>19</v>
      </c>
      <c r="B1400" t="s">
        <v>20</v>
      </c>
      <c r="C1400" t="str">
        <f t="shared" si="21"/>
        <v>31-Dec-21</v>
      </c>
      <c r="D1400" t="s">
        <v>21</v>
      </c>
      <c r="E1400" t="s">
        <v>22</v>
      </c>
      <c r="F1400" t="str">
        <f>"5216200"</f>
        <v>5216200</v>
      </c>
      <c r="G1400" t="s">
        <v>1442</v>
      </c>
      <c r="I1400" t="s">
        <v>1440</v>
      </c>
      <c r="J1400">
        <v>0.879352796</v>
      </c>
      <c r="K1400">
        <v>18275</v>
      </c>
      <c r="L1400">
        <v>35239.12</v>
      </c>
      <c r="M1400">
        <v>30495.18</v>
      </c>
      <c r="N1400">
        <v>0.78607</v>
      </c>
      <c r="O1400">
        <v>14365.39</v>
      </c>
      <c r="P1400">
        <v>12632.25</v>
      </c>
      <c r="Q1400">
        <v>0</v>
      </c>
      <c r="R1400">
        <v>0</v>
      </c>
      <c r="S1400">
        <v>0.006</v>
      </c>
      <c r="T1400" t="s">
        <v>25</v>
      </c>
    </row>
    <row r="1401" spans="1:20" ht="15">
      <c r="A1401" t="s">
        <v>19</v>
      </c>
      <c r="B1401" t="s">
        <v>20</v>
      </c>
      <c r="C1401" t="str">
        <f t="shared" si="21"/>
        <v>31-Dec-21</v>
      </c>
      <c r="D1401" t="s">
        <v>21</v>
      </c>
      <c r="E1401" t="s">
        <v>22</v>
      </c>
      <c r="F1401" t="str">
        <f>"B1FY8D2"</f>
        <v>B1FY8D2</v>
      </c>
      <c r="G1401" t="s">
        <v>1443</v>
      </c>
      <c r="I1401" t="s">
        <v>1440</v>
      </c>
      <c r="J1401">
        <v>0.879352796</v>
      </c>
      <c r="K1401">
        <v>89372</v>
      </c>
      <c r="L1401">
        <v>118738.8</v>
      </c>
      <c r="M1401">
        <v>109408.74</v>
      </c>
      <c r="N1401">
        <v>1.6372</v>
      </c>
      <c r="O1401">
        <v>146319.56</v>
      </c>
      <c r="P1401">
        <v>128666.51</v>
      </c>
      <c r="Q1401">
        <v>0</v>
      </c>
      <c r="R1401">
        <v>0</v>
      </c>
      <c r="S1401">
        <v>0.064</v>
      </c>
      <c r="T1401" t="s">
        <v>25</v>
      </c>
    </row>
    <row r="1402" spans="1:20" ht="15">
      <c r="A1402" t="s">
        <v>19</v>
      </c>
      <c r="B1402" t="s">
        <v>20</v>
      </c>
      <c r="C1402" t="str">
        <f t="shared" si="21"/>
        <v>31-Dec-21</v>
      </c>
      <c r="D1402" t="s">
        <v>21</v>
      </c>
      <c r="E1402" t="s">
        <v>22</v>
      </c>
      <c r="F1402" t="str">
        <f>"05278C107"</f>
        <v>05278C107</v>
      </c>
      <c r="G1402" t="s">
        <v>1444</v>
      </c>
      <c r="I1402" t="s">
        <v>1440</v>
      </c>
      <c r="J1402">
        <v>0.879352796</v>
      </c>
      <c r="K1402">
        <v>2202</v>
      </c>
      <c r="L1402">
        <v>192339.75</v>
      </c>
      <c r="M1402">
        <v>164514.84</v>
      </c>
      <c r="N1402">
        <v>29.48</v>
      </c>
      <c r="O1402">
        <v>64914.96</v>
      </c>
      <c r="P1402">
        <v>57083.15</v>
      </c>
      <c r="Q1402">
        <v>0</v>
      </c>
      <c r="R1402">
        <v>0</v>
      </c>
      <c r="S1402">
        <v>0.028</v>
      </c>
      <c r="T1402" t="s">
        <v>25</v>
      </c>
    </row>
    <row r="1403" spans="1:20" ht="15">
      <c r="A1403" t="s">
        <v>19</v>
      </c>
      <c r="B1403" t="s">
        <v>20</v>
      </c>
      <c r="C1403" t="str">
        <f t="shared" si="21"/>
        <v>31-Dec-21</v>
      </c>
      <c r="D1403" t="s">
        <v>21</v>
      </c>
      <c r="E1403" t="s">
        <v>22</v>
      </c>
      <c r="F1403" t="str">
        <f>"056752108"</f>
        <v>056752108</v>
      </c>
      <c r="G1403" t="s">
        <v>1445</v>
      </c>
      <c r="I1403" t="s">
        <v>1440</v>
      </c>
      <c r="J1403">
        <v>0.879352796</v>
      </c>
      <c r="K1403">
        <v>8955</v>
      </c>
      <c r="L1403">
        <v>2003762.21</v>
      </c>
      <c r="M1403">
        <v>1693794.44</v>
      </c>
      <c r="N1403">
        <v>148.79</v>
      </c>
      <c r="O1403">
        <v>1332414.45</v>
      </c>
      <c r="P1403">
        <v>1171662.37</v>
      </c>
      <c r="Q1403">
        <v>0</v>
      </c>
      <c r="R1403">
        <v>0</v>
      </c>
      <c r="S1403">
        <v>0.581</v>
      </c>
      <c r="T1403" t="s">
        <v>25</v>
      </c>
    </row>
    <row r="1404" spans="1:20" ht="15">
      <c r="A1404" t="s">
        <v>19</v>
      </c>
      <c r="B1404" t="s">
        <v>20</v>
      </c>
      <c r="C1404" t="str">
        <f t="shared" si="21"/>
        <v>31-Dec-21</v>
      </c>
      <c r="D1404" t="s">
        <v>21</v>
      </c>
      <c r="E1404" t="s">
        <v>22</v>
      </c>
      <c r="F1404" t="str">
        <f>"7129351"</f>
        <v>7129351</v>
      </c>
      <c r="G1404" t="s">
        <v>1446</v>
      </c>
      <c r="I1404" t="s">
        <v>1440</v>
      </c>
      <c r="J1404">
        <v>0.879352796</v>
      </c>
      <c r="K1404">
        <v>765</v>
      </c>
      <c r="L1404">
        <v>21392.73</v>
      </c>
      <c r="M1404">
        <v>17574.64</v>
      </c>
      <c r="N1404">
        <v>13.27222</v>
      </c>
      <c r="O1404">
        <v>10153.25</v>
      </c>
      <c r="P1404">
        <v>8928.29</v>
      </c>
      <c r="Q1404">
        <v>0</v>
      </c>
      <c r="R1404">
        <v>0</v>
      </c>
      <c r="S1404">
        <v>0.004</v>
      </c>
      <c r="T1404" t="s">
        <v>25</v>
      </c>
    </row>
    <row r="1405" spans="1:20" ht="15">
      <c r="A1405" t="s">
        <v>19</v>
      </c>
      <c r="B1405" t="s">
        <v>20</v>
      </c>
      <c r="C1405" t="str">
        <f t="shared" si="21"/>
        <v>31-Dec-21</v>
      </c>
      <c r="D1405" t="s">
        <v>21</v>
      </c>
      <c r="E1405" t="s">
        <v>22</v>
      </c>
      <c r="F1405" t="str">
        <f>"090040106"</f>
        <v>090040106</v>
      </c>
      <c r="G1405" t="s">
        <v>1447</v>
      </c>
      <c r="I1405" t="s">
        <v>1440</v>
      </c>
      <c r="J1405">
        <v>0.879352796</v>
      </c>
      <c r="K1405">
        <v>7909</v>
      </c>
      <c r="L1405">
        <v>523222.72</v>
      </c>
      <c r="M1405">
        <v>447362.93</v>
      </c>
      <c r="N1405">
        <v>46.4</v>
      </c>
      <c r="O1405">
        <v>366977.6</v>
      </c>
      <c r="P1405">
        <v>322702.78</v>
      </c>
      <c r="Q1405">
        <v>0</v>
      </c>
      <c r="R1405">
        <v>0</v>
      </c>
      <c r="S1405">
        <v>0.16</v>
      </c>
      <c r="T1405" t="s">
        <v>25</v>
      </c>
    </row>
    <row r="1406" spans="1:20" ht="15">
      <c r="A1406" t="s">
        <v>19</v>
      </c>
      <c r="B1406" t="s">
        <v>20</v>
      </c>
      <c r="C1406" t="str">
        <f t="shared" si="21"/>
        <v>31-Dec-21</v>
      </c>
      <c r="D1406" t="s">
        <v>21</v>
      </c>
      <c r="E1406" t="s">
        <v>22</v>
      </c>
      <c r="F1406" t="str">
        <f>"23344D108"</f>
        <v>23344D108</v>
      </c>
      <c r="G1406" t="s">
        <v>1448</v>
      </c>
      <c r="I1406" t="s">
        <v>1440</v>
      </c>
      <c r="J1406">
        <v>0.879352796</v>
      </c>
      <c r="K1406">
        <v>2201</v>
      </c>
      <c r="L1406">
        <v>65320.72</v>
      </c>
      <c r="M1406">
        <v>55616.08</v>
      </c>
      <c r="N1406">
        <v>13.16</v>
      </c>
      <c r="O1406">
        <v>28965.16</v>
      </c>
      <c r="P1406">
        <v>25470.59</v>
      </c>
      <c r="Q1406">
        <v>0</v>
      </c>
      <c r="R1406">
        <v>0</v>
      </c>
      <c r="S1406">
        <v>0.013</v>
      </c>
      <c r="T1406" t="s">
        <v>25</v>
      </c>
    </row>
    <row r="1407" spans="1:20" ht="15">
      <c r="A1407" t="s">
        <v>19</v>
      </c>
      <c r="B1407" t="s">
        <v>20</v>
      </c>
      <c r="C1407" t="str">
        <f t="shared" si="21"/>
        <v>31-Dec-21</v>
      </c>
      <c r="D1407" t="s">
        <v>21</v>
      </c>
      <c r="E1407" t="s">
        <v>22</v>
      </c>
      <c r="F1407" t="str">
        <f>"23292E108"</f>
        <v>23292E108</v>
      </c>
      <c r="G1407" t="s">
        <v>1449</v>
      </c>
      <c r="I1407" t="s">
        <v>1440</v>
      </c>
      <c r="J1407">
        <v>0.879352796</v>
      </c>
      <c r="K1407">
        <v>11108</v>
      </c>
      <c r="L1407">
        <v>119100.05</v>
      </c>
      <c r="M1407">
        <v>102015.75</v>
      </c>
      <c r="N1407">
        <v>4.98</v>
      </c>
      <c r="O1407">
        <v>55317.84</v>
      </c>
      <c r="P1407">
        <v>48643.9</v>
      </c>
      <c r="Q1407">
        <v>0</v>
      </c>
      <c r="R1407">
        <v>0</v>
      </c>
      <c r="S1407">
        <v>0.024</v>
      </c>
      <c r="T1407" t="s">
        <v>25</v>
      </c>
    </row>
    <row r="1408" spans="1:20" ht="15">
      <c r="A1408" t="s">
        <v>19</v>
      </c>
      <c r="B1408" t="s">
        <v>20</v>
      </c>
      <c r="C1408" t="str">
        <f t="shared" si="21"/>
        <v>31-Dec-21</v>
      </c>
      <c r="D1408" t="s">
        <v>21</v>
      </c>
      <c r="E1408" t="s">
        <v>22</v>
      </c>
      <c r="F1408" t="str">
        <f>"256135203"</f>
        <v>256135203</v>
      </c>
      <c r="G1408" t="s">
        <v>1450</v>
      </c>
      <c r="I1408" t="s">
        <v>1440</v>
      </c>
      <c r="J1408">
        <v>0.879352796</v>
      </c>
      <c r="K1408">
        <v>385</v>
      </c>
      <c r="L1408">
        <v>22365.68</v>
      </c>
      <c r="M1408">
        <v>18368.42</v>
      </c>
      <c r="N1408">
        <v>65.41</v>
      </c>
      <c r="O1408">
        <v>25182.85</v>
      </c>
      <c r="P1408">
        <v>22144.61</v>
      </c>
      <c r="Q1408">
        <v>0</v>
      </c>
      <c r="R1408">
        <v>0</v>
      </c>
      <c r="S1408">
        <v>0.011</v>
      </c>
      <c r="T1408" t="s">
        <v>25</v>
      </c>
    </row>
    <row r="1409" spans="1:20" ht="15">
      <c r="A1409" t="s">
        <v>19</v>
      </c>
      <c r="B1409" t="s">
        <v>20</v>
      </c>
      <c r="C1409" t="str">
        <f t="shared" si="21"/>
        <v>31-Dec-21</v>
      </c>
      <c r="D1409" t="s">
        <v>21</v>
      </c>
      <c r="E1409" t="s">
        <v>22</v>
      </c>
      <c r="F1409" t="str">
        <f>"B0QMD00"</f>
        <v>B0QMD00</v>
      </c>
      <c r="G1409" t="s">
        <v>1451</v>
      </c>
      <c r="I1409" t="s">
        <v>1440</v>
      </c>
      <c r="J1409">
        <v>0.879352796</v>
      </c>
      <c r="K1409">
        <v>23195</v>
      </c>
      <c r="L1409">
        <v>27352.69</v>
      </c>
      <c r="M1409">
        <v>24614.81</v>
      </c>
      <c r="N1409">
        <v>1.319</v>
      </c>
      <c r="O1409">
        <v>30594.21</v>
      </c>
      <c r="P1409">
        <v>26903.1</v>
      </c>
      <c r="Q1409">
        <v>0</v>
      </c>
      <c r="R1409">
        <v>0</v>
      </c>
      <c r="S1409">
        <v>0.013</v>
      </c>
      <c r="T1409" t="s">
        <v>25</v>
      </c>
    </row>
    <row r="1410" spans="1:20" ht="15">
      <c r="A1410" t="s">
        <v>19</v>
      </c>
      <c r="B1410" t="s">
        <v>20</v>
      </c>
      <c r="C1410" t="str">
        <f aca="true" t="shared" si="22" ref="C1410:C1473">"31-Dec-21"</f>
        <v>31-Dec-21</v>
      </c>
      <c r="D1410" t="s">
        <v>21</v>
      </c>
      <c r="E1410" t="s">
        <v>22</v>
      </c>
      <c r="F1410" t="str">
        <f>"B39RR67"</f>
        <v>B39RR67</v>
      </c>
      <c r="G1410" t="s">
        <v>1452</v>
      </c>
      <c r="I1410" t="s">
        <v>1440</v>
      </c>
      <c r="J1410">
        <v>0.879352796</v>
      </c>
      <c r="K1410">
        <v>10831315</v>
      </c>
      <c r="L1410">
        <v>28178.79</v>
      </c>
      <c r="M1410">
        <v>24706.91</v>
      </c>
      <c r="N1410">
        <v>0</v>
      </c>
      <c r="O1410">
        <v>23413.91</v>
      </c>
      <c r="P1410">
        <v>20589.09</v>
      </c>
      <c r="Q1410">
        <v>0</v>
      </c>
      <c r="R1410">
        <v>0</v>
      </c>
      <c r="S1410">
        <v>0.01</v>
      </c>
      <c r="T1410" t="s">
        <v>25</v>
      </c>
    </row>
    <row r="1411" spans="1:20" ht="15">
      <c r="A1411" t="s">
        <v>19</v>
      </c>
      <c r="B1411" t="s">
        <v>20</v>
      </c>
      <c r="C1411" t="str">
        <f t="shared" si="22"/>
        <v>31-Dec-21</v>
      </c>
      <c r="D1411" t="s">
        <v>21</v>
      </c>
      <c r="E1411" t="s">
        <v>22</v>
      </c>
      <c r="F1411" t="str">
        <f>"36165L108"</f>
        <v>36165L108</v>
      </c>
      <c r="G1411" t="s">
        <v>1453</v>
      </c>
      <c r="I1411" t="s">
        <v>1440</v>
      </c>
      <c r="J1411">
        <v>0.879352796</v>
      </c>
      <c r="K1411">
        <v>3904</v>
      </c>
      <c r="L1411">
        <v>244721.16</v>
      </c>
      <c r="M1411">
        <v>210857.47</v>
      </c>
      <c r="N1411">
        <v>47.16</v>
      </c>
      <c r="O1411">
        <v>184112.64</v>
      </c>
      <c r="P1411">
        <v>161899.96</v>
      </c>
      <c r="Q1411">
        <v>0</v>
      </c>
      <c r="R1411">
        <v>0</v>
      </c>
      <c r="S1411">
        <v>0.08</v>
      </c>
      <c r="T1411" t="s">
        <v>25</v>
      </c>
    </row>
    <row r="1412" spans="1:20" ht="15">
      <c r="A1412" t="s">
        <v>19</v>
      </c>
      <c r="B1412" t="s">
        <v>20</v>
      </c>
      <c r="C1412" t="str">
        <f t="shared" si="22"/>
        <v>31-Dec-21</v>
      </c>
      <c r="D1412" t="s">
        <v>21</v>
      </c>
      <c r="E1412" t="s">
        <v>22</v>
      </c>
      <c r="F1412" t="str">
        <f>"36257Y109"</f>
        <v>36257Y109</v>
      </c>
      <c r="G1412" t="s">
        <v>1454</v>
      </c>
      <c r="I1412" t="s">
        <v>1440</v>
      </c>
      <c r="J1412">
        <v>0.879352796</v>
      </c>
      <c r="K1412">
        <v>2300</v>
      </c>
      <c r="L1412">
        <v>84223.94</v>
      </c>
      <c r="M1412">
        <v>72880.12</v>
      </c>
      <c r="N1412">
        <v>1.94</v>
      </c>
      <c r="O1412">
        <v>4462</v>
      </c>
      <c r="P1412">
        <v>3923.67</v>
      </c>
      <c r="Q1412">
        <v>0</v>
      </c>
      <c r="R1412">
        <v>0</v>
      </c>
      <c r="S1412">
        <v>0.002</v>
      </c>
      <c r="T1412" t="s">
        <v>25</v>
      </c>
    </row>
    <row r="1413" spans="1:20" ht="15">
      <c r="A1413" t="s">
        <v>19</v>
      </c>
      <c r="B1413" t="s">
        <v>20</v>
      </c>
      <c r="C1413" t="str">
        <f t="shared" si="22"/>
        <v>31-Dec-21</v>
      </c>
      <c r="D1413" t="s">
        <v>21</v>
      </c>
      <c r="E1413" t="s">
        <v>22</v>
      </c>
      <c r="F1413" t="str">
        <f>"4364928"</f>
        <v>4364928</v>
      </c>
      <c r="G1413" t="s">
        <v>1455</v>
      </c>
      <c r="I1413" t="s">
        <v>1440</v>
      </c>
      <c r="J1413">
        <v>0.879352796</v>
      </c>
      <c r="K1413">
        <v>344626</v>
      </c>
      <c r="L1413">
        <v>1051982.76</v>
      </c>
      <c r="M1413">
        <v>872411.23</v>
      </c>
      <c r="N1413">
        <v>4.57669</v>
      </c>
      <c r="O1413">
        <v>1577244.74</v>
      </c>
      <c r="P1413">
        <v>1386954.57</v>
      </c>
      <c r="Q1413">
        <v>0</v>
      </c>
      <c r="R1413">
        <v>0</v>
      </c>
      <c r="S1413">
        <v>0.688</v>
      </c>
      <c r="T1413" t="s">
        <v>25</v>
      </c>
    </row>
    <row r="1414" spans="1:20" ht="15">
      <c r="A1414" t="s">
        <v>19</v>
      </c>
      <c r="B1414" t="s">
        <v>20</v>
      </c>
      <c r="C1414" t="str">
        <f t="shared" si="22"/>
        <v>31-Dec-21</v>
      </c>
      <c r="D1414" t="s">
        <v>21</v>
      </c>
      <c r="E1414" t="s">
        <v>22</v>
      </c>
      <c r="F1414" t="str">
        <f>"6802686"</f>
        <v>6802686</v>
      </c>
      <c r="G1414" t="s">
        <v>1456</v>
      </c>
      <c r="I1414" t="s">
        <v>1440</v>
      </c>
      <c r="J1414">
        <v>0.879352796</v>
      </c>
      <c r="K1414">
        <v>9184</v>
      </c>
      <c r="L1414">
        <v>20049.17</v>
      </c>
      <c r="M1414">
        <v>17710.5</v>
      </c>
      <c r="N1414">
        <v>1.84</v>
      </c>
      <c r="O1414">
        <v>16898.56</v>
      </c>
      <c r="P1414">
        <v>14859.8</v>
      </c>
      <c r="Q1414">
        <v>0</v>
      </c>
      <c r="R1414">
        <v>0</v>
      </c>
      <c r="S1414">
        <v>0.007</v>
      </c>
      <c r="T1414" t="s">
        <v>25</v>
      </c>
    </row>
    <row r="1415" spans="1:20" ht="15">
      <c r="A1415" t="s">
        <v>19</v>
      </c>
      <c r="B1415" t="s">
        <v>20</v>
      </c>
      <c r="C1415" t="str">
        <f t="shared" si="22"/>
        <v>31-Dec-21</v>
      </c>
      <c r="D1415" t="s">
        <v>21</v>
      </c>
      <c r="E1415" t="s">
        <v>22</v>
      </c>
      <c r="F1415" t="str">
        <f>"44332N106"</f>
        <v>44332N106</v>
      </c>
      <c r="G1415" t="s">
        <v>1457</v>
      </c>
      <c r="I1415" t="s">
        <v>1440</v>
      </c>
      <c r="J1415">
        <v>0.879352796</v>
      </c>
      <c r="K1415">
        <v>7308</v>
      </c>
      <c r="L1415">
        <v>302133.3</v>
      </c>
      <c r="M1415">
        <v>254664.79</v>
      </c>
      <c r="N1415">
        <v>37.34</v>
      </c>
      <c r="O1415">
        <v>272880.72</v>
      </c>
      <c r="P1415">
        <v>239958.42</v>
      </c>
      <c r="Q1415">
        <v>0</v>
      </c>
      <c r="R1415">
        <v>0</v>
      </c>
      <c r="S1415">
        <v>0.119</v>
      </c>
      <c r="T1415" t="s">
        <v>25</v>
      </c>
    </row>
    <row r="1416" spans="1:20" ht="15">
      <c r="A1416" t="s">
        <v>19</v>
      </c>
      <c r="B1416" t="s">
        <v>20</v>
      </c>
      <c r="C1416" t="str">
        <f t="shared" si="22"/>
        <v>31-Dec-21</v>
      </c>
      <c r="D1416" t="s">
        <v>21</v>
      </c>
      <c r="E1416" t="s">
        <v>22</v>
      </c>
      <c r="F1416" t="str">
        <f>"44975P103"</f>
        <v>44975P103</v>
      </c>
      <c r="G1416" t="s">
        <v>1458</v>
      </c>
      <c r="I1416" t="s">
        <v>1440</v>
      </c>
      <c r="J1416">
        <v>0.879352796</v>
      </c>
      <c r="K1416">
        <v>701</v>
      </c>
      <c r="L1416">
        <v>53197.35</v>
      </c>
      <c r="M1416">
        <v>45324.49</v>
      </c>
      <c r="N1416">
        <v>47.39</v>
      </c>
      <c r="O1416">
        <v>33220.39</v>
      </c>
      <c r="P1416">
        <v>29212.44</v>
      </c>
      <c r="Q1416">
        <v>0</v>
      </c>
      <c r="R1416">
        <v>0</v>
      </c>
      <c r="S1416">
        <v>0.014</v>
      </c>
      <c r="T1416" t="s">
        <v>25</v>
      </c>
    </row>
    <row r="1417" spans="1:20" ht="15">
      <c r="A1417" t="s">
        <v>19</v>
      </c>
      <c r="B1417" t="s">
        <v>20</v>
      </c>
      <c r="C1417" t="str">
        <f t="shared" si="22"/>
        <v>31-Dec-21</v>
      </c>
      <c r="D1417" t="s">
        <v>21</v>
      </c>
      <c r="E1417" t="s">
        <v>22</v>
      </c>
      <c r="F1417" t="str">
        <f>"6019011"</f>
        <v>6019011</v>
      </c>
      <c r="G1417" t="s">
        <v>1459</v>
      </c>
      <c r="I1417" t="s">
        <v>1440</v>
      </c>
      <c r="J1417">
        <v>0.879352796</v>
      </c>
      <c r="K1417">
        <v>26100</v>
      </c>
      <c r="L1417">
        <v>35231.12</v>
      </c>
      <c r="M1417">
        <v>26933.78</v>
      </c>
      <c r="N1417">
        <v>0.873</v>
      </c>
      <c r="O1417">
        <v>22785.3</v>
      </c>
      <c r="P1417">
        <v>20036.32</v>
      </c>
      <c r="Q1417">
        <v>0</v>
      </c>
      <c r="R1417">
        <v>0</v>
      </c>
      <c r="S1417">
        <v>0.01</v>
      </c>
      <c r="T1417" t="s">
        <v>25</v>
      </c>
    </row>
    <row r="1418" spans="1:20" ht="15">
      <c r="A1418" t="s">
        <v>19</v>
      </c>
      <c r="B1418" t="s">
        <v>20</v>
      </c>
      <c r="C1418" t="str">
        <f t="shared" si="22"/>
        <v>31-Dec-21</v>
      </c>
      <c r="D1418" t="s">
        <v>21</v>
      </c>
      <c r="E1418" t="s">
        <v>22</v>
      </c>
      <c r="F1418" t="str">
        <f>"B39RRN4"</f>
        <v>B39RRN4</v>
      </c>
      <c r="G1418" t="s">
        <v>1460</v>
      </c>
      <c r="I1418" t="s">
        <v>1440</v>
      </c>
      <c r="J1418">
        <v>0.879352796</v>
      </c>
      <c r="K1418">
        <v>1305965</v>
      </c>
      <c r="L1418">
        <v>68885.6</v>
      </c>
      <c r="M1418">
        <v>59769.51</v>
      </c>
      <c r="N1418">
        <v>0.05696</v>
      </c>
      <c r="O1418">
        <v>74390.27</v>
      </c>
      <c r="P1418">
        <v>65415.29</v>
      </c>
      <c r="Q1418">
        <v>0</v>
      </c>
      <c r="R1418">
        <v>0</v>
      </c>
      <c r="S1418">
        <v>0.032</v>
      </c>
      <c r="T1418" t="s">
        <v>25</v>
      </c>
    </row>
    <row r="1419" spans="1:20" ht="15">
      <c r="A1419" t="s">
        <v>19</v>
      </c>
      <c r="B1419" t="s">
        <v>20</v>
      </c>
      <c r="C1419" t="str">
        <f t="shared" si="22"/>
        <v>31-Dec-21</v>
      </c>
      <c r="D1419" t="s">
        <v>21</v>
      </c>
      <c r="E1419" t="s">
        <v>22</v>
      </c>
      <c r="F1419" t="str">
        <f>"46591M109"</f>
        <v>46591M109</v>
      </c>
      <c r="G1419" t="s">
        <v>1461</v>
      </c>
      <c r="I1419" t="s">
        <v>1440</v>
      </c>
      <c r="J1419">
        <v>0.879352796</v>
      </c>
      <c r="K1419">
        <v>1502</v>
      </c>
      <c r="L1419">
        <v>124975.97</v>
      </c>
      <c r="M1419">
        <v>107607.46</v>
      </c>
      <c r="N1419">
        <v>45.43</v>
      </c>
      <c r="O1419">
        <v>68235.86</v>
      </c>
      <c r="P1419">
        <v>60003.39</v>
      </c>
      <c r="Q1419">
        <v>0</v>
      </c>
      <c r="R1419">
        <v>0</v>
      </c>
      <c r="S1419">
        <v>0.03</v>
      </c>
      <c r="T1419" t="s">
        <v>25</v>
      </c>
    </row>
    <row r="1420" spans="1:20" ht="15">
      <c r="A1420" t="s">
        <v>19</v>
      </c>
      <c r="B1420" t="s">
        <v>20</v>
      </c>
      <c r="C1420" t="str">
        <f t="shared" si="22"/>
        <v>31-Dec-21</v>
      </c>
      <c r="D1420" t="s">
        <v>21</v>
      </c>
      <c r="E1420" t="s">
        <v>22</v>
      </c>
      <c r="F1420" t="str">
        <f>"482497104"</f>
        <v>482497104</v>
      </c>
      <c r="G1420" t="s">
        <v>1462</v>
      </c>
      <c r="I1420" t="s">
        <v>1440</v>
      </c>
      <c r="J1420">
        <v>0.879352796</v>
      </c>
      <c r="K1420">
        <v>7808</v>
      </c>
      <c r="L1420">
        <v>363642.6</v>
      </c>
      <c r="M1420">
        <v>305034.93</v>
      </c>
      <c r="N1420">
        <v>20.12</v>
      </c>
      <c r="O1420">
        <v>157096.96</v>
      </c>
      <c r="P1420">
        <v>138143.65</v>
      </c>
      <c r="Q1420">
        <v>0</v>
      </c>
      <c r="R1420">
        <v>0</v>
      </c>
      <c r="S1420">
        <v>0.068</v>
      </c>
      <c r="T1420" t="s">
        <v>25</v>
      </c>
    </row>
    <row r="1421" spans="1:20" ht="15">
      <c r="A1421" t="s">
        <v>19</v>
      </c>
      <c r="B1421" t="s">
        <v>20</v>
      </c>
      <c r="C1421" t="str">
        <f t="shared" si="22"/>
        <v>31-Dec-21</v>
      </c>
      <c r="D1421" t="s">
        <v>21</v>
      </c>
      <c r="E1421" t="s">
        <v>22</v>
      </c>
      <c r="F1421" t="str">
        <f>"48553T106"</f>
        <v>48553T106</v>
      </c>
      <c r="G1421" t="s">
        <v>1463</v>
      </c>
      <c r="I1421" t="s">
        <v>1440</v>
      </c>
      <c r="J1421">
        <v>0.879352796</v>
      </c>
      <c r="K1421">
        <v>700</v>
      </c>
      <c r="L1421">
        <v>25166.75</v>
      </c>
      <c r="M1421">
        <v>22321.83</v>
      </c>
      <c r="N1421">
        <v>34.88</v>
      </c>
      <c r="O1421">
        <v>24416</v>
      </c>
      <c r="P1421">
        <v>21470.28</v>
      </c>
      <c r="Q1421">
        <v>0</v>
      </c>
      <c r="R1421">
        <v>0</v>
      </c>
      <c r="S1421">
        <v>0.011</v>
      </c>
      <c r="T1421" t="s">
        <v>25</v>
      </c>
    </row>
    <row r="1422" spans="1:20" ht="15">
      <c r="A1422" t="s">
        <v>19</v>
      </c>
      <c r="B1422" t="s">
        <v>20</v>
      </c>
      <c r="C1422" t="str">
        <f t="shared" si="22"/>
        <v>31-Dec-21</v>
      </c>
      <c r="D1422" t="s">
        <v>21</v>
      </c>
      <c r="E1422" t="s">
        <v>22</v>
      </c>
      <c r="F1422" t="str">
        <f>"49639K101"</f>
        <v>49639K101</v>
      </c>
      <c r="G1422" t="s">
        <v>1464</v>
      </c>
      <c r="I1422" t="s">
        <v>1440</v>
      </c>
      <c r="J1422">
        <v>0.879352796</v>
      </c>
      <c r="K1422">
        <v>2403</v>
      </c>
      <c r="L1422">
        <v>97750.58</v>
      </c>
      <c r="M1422">
        <v>81127.64</v>
      </c>
      <c r="N1422">
        <v>15.75</v>
      </c>
      <c r="O1422">
        <v>37847.25</v>
      </c>
      <c r="P1422">
        <v>33281.09</v>
      </c>
      <c r="Q1422">
        <v>0</v>
      </c>
      <c r="R1422">
        <v>0</v>
      </c>
      <c r="S1422">
        <v>0.016</v>
      </c>
      <c r="T1422" t="s">
        <v>25</v>
      </c>
    </row>
    <row r="1423" spans="1:20" ht="15">
      <c r="A1423" t="s">
        <v>19</v>
      </c>
      <c r="B1423" t="s">
        <v>20</v>
      </c>
      <c r="C1423" t="str">
        <f t="shared" si="22"/>
        <v>31-Dec-21</v>
      </c>
      <c r="D1423" t="s">
        <v>21</v>
      </c>
      <c r="E1423" t="s">
        <v>22</v>
      </c>
      <c r="F1423" t="str">
        <f>"4560588"</f>
        <v>4560588</v>
      </c>
      <c r="G1423" t="s">
        <v>1465</v>
      </c>
      <c r="I1423" t="s">
        <v>1440</v>
      </c>
      <c r="J1423">
        <v>0.879352796</v>
      </c>
      <c r="K1423">
        <v>12492</v>
      </c>
      <c r="L1423">
        <v>759537.29</v>
      </c>
      <c r="M1423">
        <v>642261.66</v>
      </c>
      <c r="N1423">
        <v>87.5927</v>
      </c>
      <c r="O1423">
        <v>1094208.02</v>
      </c>
      <c r="P1423">
        <v>962194.88</v>
      </c>
      <c r="Q1423">
        <v>0</v>
      </c>
      <c r="R1423">
        <v>0</v>
      </c>
      <c r="S1423">
        <v>0.477</v>
      </c>
      <c r="T1423" t="s">
        <v>25</v>
      </c>
    </row>
    <row r="1424" spans="1:20" ht="15">
      <c r="A1424" t="s">
        <v>19</v>
      </c>
      <c r="B1424" t="s">
        <v>20</v>
      </c>
      <c r="C1424" t="str">
        <f t="shared" si="22"/>
        <v>31-Dec-21</v>
      </c>
      <c r="D1424" t="s">
        <v>21</v>
      </c>
      <c r="E1424" t="s">
        <v>22</v>
      </c>
      <c r="F1424" t="str">
        <f>"6196077"</f>
        <v>6196077</v>
      </c>
      <c r="G1424" t="s">
        <v>1466</v>
      </c>
      <c r="I1424" t="s">
        <v>1440</v>
      </c>
      <c r="J1424">
        <v>0.879352796</v>
      </c>
      <c r="K1424">
        <v>12100</v>
      </c>
      <c r="L1424">
        <v>49107.21</v>
      </c>
      <c r="M1424">
        <v>43949.71</v>
      </c>
      <c r="N1424">
        <v>3.409</v>
      </c>
      <c r="O1424">
        <v>41248.9</v>
      </c>
      <c r="P1424">
        <v>36272.34</v>
      </c>
      <c r="Q1424">
        <v>0</v>
      </c>
      <c r="R1424">
        <v>0</v>
      </c>
      <c r="S1424">
        <v>0.018</v>
      </c>
      <c r="T1424" t="s">
        <v>25</v>
      </c>
    </row>
    <row r="1425" spans="1:20" ht="15">
      <c r="A1425" t="s">
        <v>19</v>
      </c>
      <c r="B1425" t="s">
        <v>20</v>
      </c>
      <c r="C1425" t="str">
        <f t="shared" si="22"/>
        <v>31-Dec-21</v>
      </c>
      <c r="D1425" t="s">
        <v>21</v>
      </c>
      <c r="E1425" t="s">
        <v>22</v>
      </c>
      <c r="F1425" t="str">
        <f>"50202M102"</f>
        <v>50202M102</v>
      </c>
      <c r="G1425" t="s">
        <v>1467</v>
      </c>
      <c r="I1425" t="s">
        <v>1440</v>
      </c>
      <c r="J1425">
        <v>0.879352796</v>
      </c>
      <c r="K1425">
        <v>13714</v>
      </c>
      <c r="L1425">
        <v>382096.82</v>
      </c>
      <c r="M1425">
        <v>319370.84</v>
      </c>
      <c r="N1425">
        <v>32.1</v>
      </c>
      <c r="O1425">
        <v>440219.4</v>
      </c>
      <c r="P1425">
        <v>387108.16</v>
      </c>
      <c r="Q1425">
        <v>0</v>
      </c>
      <c r="R1425">
        <v>0</v>
      </c>
      <c r="S1425">
        <v>0.192</v>
      </c>
      <c r="T1425" t="s">
        <v>25</v>
      </c>
    </row>
    <row r="1426" spans="1:20" ht="15">
      <c r="A1426" t="s">
        <v>19</v>
      </c>
      <c r="B1426" t="s">
        <v>20</v>
      </c>
      <c r="C1426" t="str">
        <f t="shared" si="22"/>
        <v>31-Dec-21</v>
      </c>
      <c r="D1426" t="s">
        <v>21</v>
      </c>
      <c r="E1426" t="s">
        <v>22</v>
      </c>
      <c r="F1426" t="str">
        <f>"54975P102"</f>
        <v>54975P102</v>
      </c>
      <c r="G1426" t="s">
        <v>1468</v>
      </c>
      <c r="I1426" t="s">
        <v>1440</v>
      </c>
      <c r="J1426">
        <v>0.879352796</v>
      </c>
      <c r="K1426">
        <v>17718</v>
      </c>
      <c r="L1426">
        <v>231347.27</v>
      </c>
      <c r="M1426">
        <v>194297.79</v>
      </c>
      <c r="N1426">
        <v>5.63</v>
      </c>
      <c r="O1426">
        <v>99752.34</v>
      </c>
      <c r="P1426">
        <v>87717.5</v>
      </c>
      <c r="Q1426">
        <v>0</v>
      </c>
      <c r="R1426">
        <v>0</v>
      </c>
      <c r="S1426">
        <v>0.043</v>
      </c>
      <c r="T1426" t="s">
        <v>25</v>
      </c>
    </row>
    <row r="1427" spans="1:20" ht="15">
      <c r="A1427" t="s">
        <v>19</v>
      </c>
      <c r="B1427" t="s">
        <v>20</v>
      </c>
      <c r="C1427" t="str">
        <f t="shared" si="22"/>
        <v>31-Dec-21</v>
      </c>
      <c r="D1427" t="s">
        <v>21</v>
      </c>
      <c r="E1427" t="s">
        <v>22</v>
      </c>
      <c r="F1427" t="str">
        <f>"66981J102"</f>
        <v>66981J102</v>
      </c>
      <c r="G1427" t="s">
        <v>1469</v>
      </c>
      <c r="I1427" t="s">
        <v>1440</v>
      </c>
      <c r="J1427">
        <v>0.879352796</v>
      </c>
      <c r="K1427">
        <v>2100</v>
      </c>
      <c r="L1427">
        <v>33290.25</v>
      </c>
      <c r="M1427">
        <v>29334.49</v>
      </c>
      <c r="N1427">
        <v>10.34</v>
      </c>
      <c r="O1427">
        <v>21714</v>
      </c>
      <c r="P1427">
        <v>19094.27</v>
      </c>
      <c r="Q1427">
        <v>0</v>
      </c>
      <c r="R1427">
        <v>0</v>
      </c>
      <c r="S1427">
        <v>0.009</v>
      </c>
      <c r="T1427" t="s">
        <v>25</v>
      </c>
    </row>
    <row r="1428" spans="1:20" ht="15">
      <c r="A1428" t="s">
        <v>19</v>
      </c>
      <c r="B1428" t="s">
        <v>20</v>
      </c>
      <c r="C1428" t="str">
        <f t="shared" si="22"/>
        <v>31-Dec-21</v>
      </c>
      <c r="D1428" t="s">
        <v>21</v>
      </c>
      <c r="E1428" t="s">
        <v>22</v>
      </c>
      <c r="F1428" t="str">
        <f>"55315J102"</f>
        <v>55315J102</v>
      </c>
      <c r="G1428" t="s">
        <v>1470</v>
      </c>
      <c r="I1428" t="s">
        <v>1440</v>
      </c>
      <c r="J1428">
        <v>0.879352796</v>
      </c>
      <c r="K1428">
        <v>16149</v>
      </c>
      <c r="L1428">
        <v>308479.51</v>
      </c>
      <c r="M1428">
        <v>263259.87</v>
      </c>
      <c r="N1428">
        <v>30.67</v>
      </c>
      <c r="O1428">
        <v>495289.83</v>
      </c>
      <c r="P1428">
        <v>435534.5</v>
      </c>
      <c r="Q1428">
        <v>0</v>
      </c>
      <c r="R1428">
        <v>0</v>
      </c>
      <c r="S1428">
        <v>0.216</v>
      </c>
      <c r="T1428" t="s">
        <v>25</v>
      </c>
    </row>
    <row r="1429" spans="1:20" ht="15">
      <c r="A1429" t="s">
        <v>19</v>
      </c>
      <c r="B1429" t="s">
        <v>20</v>
      </c>
      <c r="C1429" t="str">
        <f t="shared" si="22"/>
        <v>31-Dec-21</v>
      </c>
      <c r="D1429" t="s">
        <v>21</v>
      </c>
      <c r="E1429" t="s">
        <v>22</v>
      </c>
      <c r="F1429" t="str">
        <f>"B1393X4"</f>
        <v>B1393X4</v>
      </c>
      <c r="G1429" t="s">
        <v>1471</v>
      </c>
      <c r="I1429" t="s">
        <v>1440</v>
      </c>
      <c r="J1429">
        <v>0.879352796</v>
      </c>
      <c r="K1429">
        <v>2600</v>
      </c>
      <c r="L1429">
        <v>153900.22</v>
      </c>
      <c r="M1429">
        <v>137098.85</v>
      </c>
      <c r="N1429">
        <v>72.54729</v>
      </c>
      <c r="O1429">
        <v>188622.95</v>
      </c>
      <c r="P1429">
        <v>165866.12</v>
      </c>
      <c r="Q1429">
        <v>8673.38</v>
      </c>
      <c r="R1429">
        <v>7626.97</v>
      </c>
      <c r="S1429">
        <v>0.086</v>
      </c>
      <c r="T1429" t="s">
        <v>25</v>
      </c>
    </row>
    <row r="1430" spans="1:20" ht="15">
      <c r="A1430" t="s">
        <v>19</v>
      </c>
      <c r="B1430" t="s">
        <v>20</v>
      </c>
      <c r="C1430" t="str">
        <f t="shared" si="22"/>
        <v>31-Dec-21</v>
      </c>
      <c r="D1430" t="s">
        <v>21</v>
      </c>
      <c r="E1430" t="s">
        <v>22</v>
      </c>
      <c r="F1430" t="str">
        <f>"4562539"</f>
        <v>4562539</v>
      </c>
      <c r="G1430" t="s">
        <v>1472</v>
      </c>
      <c r="I1430" t="s">
        <v>1440</v>
      </c>
      <c r="J1430">
        <v>0.879352796</v>
      </c>
      <c r="K1430">
        <v>74185</v>
      </c>
      <c r="L1430">
        <v>19144.02</v>
      </c>
      <c r="M1430">
        <v>17824.97</v>
      </c>
      <c r="N1430">
        <v>0.92579</v>
      </c>
      <c r="O1430">
        <v>68679.7</v>
      </c>
      <c r="P1430">
        <v>60393.69</v>
      </c>
      <c r="Q1430">
        <v>0</v>
      </c>
      <c r="R1430">
        <v>0</v>
      </c>
      <c r="S1430">
        <v>0.03</v>
      </c>
      <c r="T1430" t="s">
        <v>25</v>
      </c>
    </row>
    <row r="1431" spans="1:20" ht="15">
      <c r="A1431" t="s">
        <v>19</v>
      </c>
      <c r="B1431" t="s">
        <v>20</v>
      </c>
      <c r="C1431" t="str">
        <f t="shared" si="22"/>
        <v>31-Dec-21</v>
      </c>
      <c r="D1431" t="s">
        <v>21</v>
      </c>
      <c r="E1431" t="s">
        <v>22</v>
      </c>
      <c r="F1431" t="str">
        <f>"7150339"</f>
        <v>7150339</v>
      </c>
      <c r="G1431" t="s">
        <v>1473</v>
      </c>
      <c r="I1431" t="s">
        <v>1440</v>
      </c>
      <c r="J1431">
        <v>0.879352796</v>
      </c>
      <c r="K1431">
        <v>35451</v>
      </c>
      <c r="L1431">
        <v>235473.29</v>
      </c>
      <c r="M1431">
        <v>184403.73</v>
      </c>
      <c r="N1431">
        <v>3.981</v>
      </c>
      <c r="O1431">
        <v>141130.49</v>
      </c>
      <c r="P1431">
        <v>124103.49</v>
      </c>
      <c r="Q1431">
        <v>0</v>
      </c>
      <c r="R1431">
        <v>0</v>
      </c>
      <c r="S1431">
        <v>0.062</v>
      </c>
      <c r="T1431" t="s">
        <v>25</v>
      </c>
    </row>
    <row r="1432" spans="1:20" ht="15">
      <c r="A1432" t="s">
        <v>19</v>
      </c>
      <c r="B1432" t="s">
        <v>20</v>
      </c>
      <c r="C1432" t="str">
        <f t="shared" si="22"/>
        <v>31-Dec-21</v>
      </c>
      <c r="D1432" t="s">
        <v>21</v>
      </c>
      <c r="E1432" t="s">
        <v>22</v>
      </c>
      <c r="F1432" t="str">
        <f>"B8J4DK9"</f>
        <v>B8J4DK9</v>
      </c>
      <c r="G1432" t="s">
        <v>1474</v>
      </c>
      <c r="I1432" t="s">
        <v>1440</v>
      </c>
      <c r="J1432">
        <v>0.879352796</v>
      </c>
      <c r="K1432">
        <v>58798</v>
      </c>
      <c r="L1432">
        <v>89788.26</v>
      </c>
      <c r="M1432">
        <v>75321.63</v>
      </c>
      <c r="N1432">
        <v>2.04223</v>
      </c>
      <c r="O1432">
        <v>120079.03</v>
      </c>
      <c r="P1432">
        <v>105591.83</v>
      </c>
      <c r="Q1432">
        <v>0</v>
      </c>
      <c r="R1432">
        <v>0</v>
      </c>
      <c r="S1432">
        <v>0.052</v>
      </c>
      <c r="T1432" t="s">
        <v>25</v>
      </c>
    </row>
    <row r="1433" spans="1:20" ht="15">
      <c r="A1433" t="s">
        <v>19</v>
      </c>
      <c r="B1433" t="s">
        <v>20</v>
      </c>
      <c r="C1433" t="str">
        <f t="shared" si="22"/>
        <v>31-Dec-21</v>
      </c>
      <c r="D1433" t="s">
        <v>21</v>
      </c>
      <c r="E1433" t="s">
        <v>22</v>
      </c>
      <c r="F1433" t="str">
        <f>"62914V106"</f>
        <v>62914V106</v>
      </c>
      <c r="G1433" t="s">
        <v>1475</v>
      </c>
      <c r="I1433" t="s">
        <v>1440</v>
      </c>
      <c r="J1433">
        <v>0.879352796</v>
      </c>
      <c r="K1433">
        <v>40145</v>
      </c>
      <c r="L1433">
        <v>665513.15</v>
      </c>
      <c r="M1433">
        <v>558844.01</v>
      </c>
      <c r="N1433">
        <v>31.68</v>
      </c>
      <c r="O1433">
        <v>1271793.6</v>
      </c>
      <c r="P1433">
        <v>1118355.26</v>
      </c>
      <c r="Q1433">
        <v>0</v>
      </c>
      <c r="R1433">
        <v>0</v>
      </c>
      <c r="S1433">
        <v>0.554</v>
      </c>
      <c r="T1433" t="s">
        <v>25</v>
      </c>
    </row>
    <row r="1434" spans="1:20" ht="15">
      <c r="A1434" t="s">
        <v>19</v>
      </c>
      <c r="B1434" t="s">
        <v>20</v>
      </c>
      <c r="C1434" t="str">
        <f t="shared" si="22"/>
        <v>31-Dec-21</v>
      </c>
      <c r="D1434" t="s">
        <v>21</v>
      </c>
      <c r="E1434" t="s">
        <v>22</v>
      </c>
      <c r="F1434" t="str">
        <f>"647581107"</f>
        <v>647581107</v>
      </c>
      <c r="G1434" t="s">
        <v>1476</v>
      </c>
      <c r="I1434" t="s">
        <v>1440</v>
      </c>
      <c r="J1434">
        <v>0.879352796</v>
      </c>
      <c r="K1434">
        <v>53256</v>
      </c>
      <c r="L1434">
        <v>560066.04</v>
      </c>
      <c r="M1434">
        <v>477602.6</v>
      </c>
      <c r="N1434">
        <v>2.1</v>
      </c>
      <c r="O1434">
        <v>111837.6</v>
      </c>
      <c r="P1434">
        <v>98344.71</v>
      </c>
      <c r="Q1434">
        <v>0</v>
      </c>
      <c r="R1434">
        <v>0</v>
      </c>
      <c r="S1434">
        <v>0.049</v>
      </c>
      <c r="T1434" t="s">
        <v>25</v>
      </c>
    </row>
    <row r="1435" spans="1:20" ht="15">
      <c r="A1435" t="s">
        <v>19</v>
      </c>
      <c r="B1435" t="s">
        <v>20</v>
      </c>
      <c r="C1435" t="str">
        <f t="shared" si="22"/>
        <v>31-Dec-21</v>
      </c>
      <c r="D1435" t="s">
        <v>21</v>
      </c>
      <c r="E1435" t="s">
        <v>22</v>
      </c>
      <c r="F1435" t="str">
        <f>"B19MY34"</f>
        <v>B19MY34</v>
      </c>
      <c r="G1435" t="s">
        <v>1477</v>
      </c>
      <c r="I1435" t="s">
        <v>1440</v>
      </c>
      <c r="J1435">
        <v>0.879352796</v>
      </c>
      <c r="K1435">
        <v>34398</v>
      </c>
      <c r="L1435">
        <v>463576.23</v>
      </c>
      <c r="M1435">
        <v>392167.94</v>
      </c>
      <c r="N1435">
        <v>22.93142</v>
      </c>
      <c r="O1435">
        <v>788795.07</v>
      </c>
      <c r="P1435">
        <v>693629.15</v>
      </c>
      <c r="Q1435">
        <v>0</v>
      </c>
      <c r="R1435">
        <v>0</v>
      </c>
      <c r="S1435">
        <v>0.344</v>
      </c>
      <c r="T1435" t="s">
        <v>25</v>
      </c>
    </row>
    <row r="1436" spans="1:20" ht="15">
      <c r="A1436" t="s">
        <v>19</v>
      </c>
      <c r="B1436" t="s">
        <v>20</v>
      </c>
      <c r="C1436" t="str">
        <f t="shared" si="22"/>
        <v>31-Dec-21</v>
      </c>
      <c r="D1436" t="s">
        <v>21</v>
      </c>
      <c r="E1436" t="s">
        <v>22</v>
      </c>
      <c r="F1436" t="str">
        <f>"4578741"</f>
        <v>4578741</v>
      </c>
      <c r="G1436" t="s">
        <v>1478</v>
      </c>
      <c r="I1436" t="s">
        <v>1440</v>
      </c>
      <c r="J1436">
        <v>0.879352796</v>
      </c>
      <c r="K1436">
        <v>45424</v>
      </c>
      <c r="L1436">
        <v>80906.99</v>
      </c>
      <c r="M1436">
        <v>62333.9</v>
      </c>
      <c r="N1436">
        <v>2.90163</v>
      </c>
      <c r="O1436">
        <v>131803.41</v>
      </c>
      <c r="P1436">
        <v>115901.7</v>
      </c>
      <c r="Q1436">
        <v>0</v>
      </c>
      <c r="R1436">
        <v>0</v>
      </c>
      <c r="S1436">
        <v>0.057</v>
      </c>
      <c r="T1436" t="s">
        <v>25</v>
      </c>
    </row>
    <row r="1437" spans="1:20" ht="15">
      <c r="A1437" t="s">
        <v>19</v>
      </c>
      <c r="B1437" t="s">
        <v>20</v>
      </c>
      <c r="C1437" t="str">
        <f t="shared" si="22"/>
        <v>31-Dec-21</v>
      </c>
      <c r="D1437" t="s">
        <v>21</v>
      </c>
      <c r="E1437" t="s">
        <v>22</v>
      </c>
      <c r="F1437" t="str">
        <f>"B62QPJ1"</f>
        <v>B62QPJ1</v>
      </c>
      <c r="G1437" t="s">
        <v>1479</v>
      </c>
      <c r="I1437" t="s">
        <v>1440</v>
      </c>
      <c r="J1437">
        <v>0.879352796</v>
      </c>
      <c r="K1437">
        <v>3944</v>
      </c>
      <c r="L1437">
        <v>50612.07</v>
      </c>
      <c r="M1437">
        <v>45495.79</v>
      </c>
      <c r="N1437">
        <v>21.58</v>
      </c>
      <c r="O1437">
        <v>85111.52</v>
      </c>
      <c r="P1437">
        <v>74843.05</v>
      </c>
      <c r="Q1437">
        <v>4162.96</v>
      </c>
      <c r="R1437">
        <v>3660.71</v>
      </c>
      <c r="S1437">
        <v>0.039</v>
      </c>
      <c r="T1437" t="s">
        <v>25</v>
      </c>
    </row>
    <row r="1438" spans="1:20" ht="15">
      <c r="A1438" t="s">
        <v>19</v>
      </c>
      <c r="B1438" t="s">
        <v>20</v>
      </c>
      <c r="C1438" t="str">
        <f t="shared" si="22"/>
        <v>31-Dec-21</v>
      </c>
      <c r="D1438" t="s">
        <v>21</v>
      </c>
      <c r="E1438" t="s">
        <v>22</v>
      </c>
      <c r="F1438" t="str">
        <f>"722304102"</f>
        <v>722304102</v>
      </c>
      <c r="G1438" t="s">
        <v>1480</v>
      </c>
      <c r="I1438" t="s">
        <v>1440</v>
      </c>
      <c r="J1438">
        <v>0.879352796</v>
      </c>
      <c r="K1438">
        <v>11913</v>
      </c>
      <c r="L1438">
        <v>939755.15</v>
      </c>
      <c r="M1438">
        <v>813581.22</v>
      </c>
      <c r="N1438">
        <v>58.3</v>
      </c>
      <c r="O1438">
        <v>694527.9</v>
      </c>
      <c r="P1438">
        <v>610735.05</v>
      </c>
      <c r="Q1438">
        <v>0</v>
      </c>
      <c r="R1438">
        <v>0</v>
      </c>
      <c r="S1438">
        <v>0.303</v>
      </c>
      <c r="T1438" t="s">
        <v>25</v>
      </c>
    </row>
    <row r="1439" spans="1:20" ht="15">
      <c r="A1439" t="s">
        <v>19</v>
      </c>
      <c r="B1439" t="s">
        <v>20</v>
      </c>
      <c r="C1439" t="str">
        <f t="shared" si="22"/>
        <v>31-Dec-21</v>
      </c>
      <c r="D1439" t="s">
        <v>21</v>
      </c>
      <c r="E1439" t="s">
        <v>22</v>
      </c>
      <c r="F1439" t="str">
        <f>"BYXL3S6"</f>
        <v>BYXL3S6</v>
      </c>
      <c r="G1439" t="s">
        <v>1481</v>
      </c>
      <c r="I1439" t="s">
        <v>1440</v>
      </c>
      <c r="J1439">
        <v>0.879352796</v>
      </c>
      <c r="K1439">
        <v>1760</v>
      </c>
      <c r="L1439">
        <v>84679.4</v>
      </c>
      <c r="M1439">
        <v>70180.06</v>
      </c>
      <c r="N1439">
        <v>88.25</v>
      </c>
      <c r="O1439">
        <v>155320</v>
      </c>
      <c r="P1439">
        <v>136581.08</v>
      </c>
      <c r="Q1439">
        <v>0</v>
      </c>
      <c r="R1439">
        <v>0</v>
      </c>
      <c r="S1439">
        <v>0.068</v>
      </c>
      <c r="T1439" t="s">
        <v>25</v>
      </c>
    </row>
    <row r="1440" spans="1:20" ht="15">
      <c r="A1440" t="s">
        <v>19</v>
      </c>
      <c r="B1440" t="s">
        <v>20</v>
      </c>
      <c r="C1440" t="str">
        <f t="shared" si="22"/>
        <v>31-Dec-21</v>
      </c>
      <c r="D1440" t="s">
        <v>21</v>
      </c>
      <c r="E1440" t="s">
        <v>22</v>
      </c>
      <c r="F1440" t="str">
        <f>"74969N103"</f>
        <v>74969N103</v>
      </c>
      <c r="G1440" t="s">
        <v>1482</v>
      </c>
      <c r="I1440" t="s">
        <v>1440</v>
      </c>
      <c r="J1440">
        <v>0.879352796</v>
      </c>
      <c r="K1440">
        <v>23024</v>
      </c>
      <c r="L1440">
        <v>111562.79</v>
      </c>
      <c r="M1440">
        <v>95052.22</v>
      </c>
      <c r="N1440">
        <v>3.9</v>
      </c>
      <c r="O1440">
        <v>89793.6</v>
      </c>
      <c r="P1440">
        <v>78960.25</v>
      </c>
      <c r="Q1440">
        <v>0</v>
      </c>
      <c r="R1440">
        <v>0</v>
      </c>
      <c r="S1440">
        <v>0.039</v>
      </c>
      <c r="T1440" t="s">
        <v>25</v>
      </c>
    </row>
    <row r="1441" spans="1:20" ht="15">
      <c r="A1441" t="s">
        <v>19</v>
      </c>
      <c r="B1441" t="s">
        <v>20</v>
      </c>
      <c r="C1441" t="str">
        <f t="shared" si="22"/>
        <v>31-Dec-21</v>
      </c>
      <c r="D1441" t="s">
        <v>21</v>
      </c>
      <c r="E1441" t="s">
        <v>22</v>
      </c>
      <c r="F1441" t="str">
        <f>"B3CCJF2"</f>
        <v>B3CCJF2</v>
      </c>
      <c r="G1441" t="s">
        <v>1483</v>
      </c>
      <c r="I1441" t="s">
        <v>1440</v>
      </c>
      <c r="J1441">
        <v>0.879352796</v>
      </c>
      <c r="K1441">
        <v>1233833</v>
      </c>
      <c r="L1441">
        <v>20959.71</v>
      </c>
      <c r="M1441">
        <v>17914.17</v>
      </c>
      <c r="N1441">
        <v>0.01487</v>
      </c>
      <c r="O1441">
        <v>18348.04</v>
      </c>
      <c r="P1441">
        <v>16134.4</v>
      </c>
      <c r="Q1441">
        <v>0</v>
      </c>
      <c r="R1441">
        <v>0</v>
      </c>
      <c r="S1441">
        <v>0.008</v>
      </c>
      <c r="T1441" t="s">
        <v>25</v>
      </c>
    </row>
    <row r="1442" spans="1:20" ht="15">
      <c r="A1442" t="s">
        <v>19</v>
      </c>
      <c r="B1442" t="s">
        <v>20</v>
      </c>
      <c r="C1442" t="str">
        <f t="shared" si="22"/>
        <v>31-Dec-21</v>
      </c>
      <c r="D1442" t="s">
        <v>21</v>
      </c>
      <c r="E1442" t="s">
        <v>22</v>
      </c>
      <c r="F1442" t="str">
        <f>"B17KP48"</f>
        <v>B17KP48</v>
      </c>
      <c r="G1442" t="s">
        <v>1484</v>
      </c>
      <c r="I1442" t="s">
        <v>1440</v>
      </c>
      <c r="J1442">
        <v>0.879352796</v>
      </c>
      <c r="K1442">
        <v>42077</v>
      </c>
      <c r="L1442">
        <v>265718.54</v>
      </c>
      <c r="M1442">
        <v>210132.77</v>
      </c>
      <c r="N1442">
        <v>7.998</v>
      </c>
      <c r="O1442">
        <v>336531.85</v>
      </c>
      <c r="P1442">
        <v>295930.22</v>
      </c>
      <c r="Q1442">
        <v>0</v>
      </c>
      <c r="R1442">
        <v>0</v>
      </c>
      <c r="S1442">
        <v>0.147</v>
      </c>
      <c r="T1442" t="s">
        <v>25</v>
      </c>
    </row>
    <row r="1443" spans="1:20" ht="15">
      <c r="A1443" t="s">
        <v>19</v>
      </c>
      <c r="B1443" t="s">
        <v>20</v>
      </c>
      <c r="C1443" t="str">
        <f t="shared" si="22"/>
        <v>31-Dec-21</v>
      </c>
      <c r="D1443" t="s">
        <v>21</v>
      </c>
      <c r="E1443" t="s">
        <v>22</v>
      </c>
      <c r="F1443" t="str">
        <f>"5004148"</f>
        <v>5004148</v>
      </c>
      <c r="G1443" t="s">
        <v>1485</v>
      </c>
      <c r="I1443" t="s">
        <v>1440</v>
      </c>
      <c r="J1443">
        <v>0.879352796</v>
      </c>
      <c r="K1443">
        <v>33992</v>
      </c>
      <c r="L1443">
        <v>95734</v>
      </c>
      <c r="M1443">
        <v>73796.41</v>
      </c>
      <c r="N1443">
        <v>1.16284</v>
      </c>
      <c r="O1443">
        <v>39527.14</v>
      </c>
      <c r="P1443">
        <v>34758.3</v>
      </c>
      <c r="Q1443">
        <v>0</v>
      </c>
      <c r="R1443">
        <v>0</v>
      </c>
      <c r="S1443">
        <v>0.017</v>
      </c>
      <c r="T1443" t="s">
        <v>25</v>
      </c>
    </row>
    <row r="1444" spans="1:20" ht="15">
      <c r="A1444" t="s">
        <v>19</v>
      </c>
      <c r="B1444" t="s">
        <v>20</v>
      </c>
      <c r="C1444" t="str">
        <f t="shared" si="22"/>
        <v>31-Dec-21</v>
      </c>
      <c r="D1444" t="s">
        <v>21</v>
      </c>
      <c r="E1444" t="s">
        <v>22</v>
      </c>
      <c r="F1444" t="str">
        <f>"B2NWKZ1"</f>
        <v>B2NWKZ1</v>
      </c>
      <c r="G1444" t="s">
        <v>1486</v>
      </c>
      <c r="I1444" t="s">
        <v>1440</v>
      </c>
      <c r="J1444">
        <v>0.879352796</v>
      </c>
      <c r="K1444">
        <v>4618828</v>
      </c>
      <c r="L1444">
        <v>61336.33</v>
      </c>
      <c r="M1444">
        <v>48262.51</v>
      </c>
      <c r="N1444">
        <v>0.00989</v>
      </c>
      <c r="O1444">
        <v>45691.8</v>
      </c>
      <c r="P1444">
        <v>40179.21</v>
      </c>
      <c r="Q1444">
        <v>0</v>
      </c>
      <c r="R1444">
        <v>0</v>
      </c>
      <c r="S1444">
        <v>0.02</v>
      </c>
      <c r="T1444" t="s">
        <v>25</v>
      </c>
    </row>
    <row r="1445" spans="1:20" ht="15">
      <c r="A1445" t="s">
        <v>19</v>
      </c>
      <c r="B1445" t="s">
        <v>20</v>
      </c>
      <c r="C1445" t="str">
        <f t="shared" si="22"/>
        <v>31-Dec-21</v>
      </c>
      <c r="D1445" t="s">
        <v>21</v>
      </c>
      <c r="E1445" t="s">
        <v>22</v>
      </c>
      <c r="F1445" t="str">
        <f>"B56C9L8"</f>
        <v>B56C9L8</v>
      </c>
      <c r="G1445" t="s">
        <v>1487</v>
      </c>
      <c r="I1445" t="s">
        <v>1440</v>
      </c>
      <c r="J1445">
        <v>0.879352796</v>
      </c>
      <c r="K1445">
        <v>330612</v>
      </c>
      <c r="L1445">
        <v>880544.11</v>
      </c>
      <c r="M1445">
        <v>732102.74</v>
      </c>
      <c r="N1445">
        <v>3.91461</v>
      </c>
      <c r="O1445">
        <v>1294216.09</v>
      </c>
      <c r="P1445">
        <v>1138072.54</v>
      </c>
      <c r="Q1445">
        <v>0</v>
      </c>
      <c r="R1445">
        <v>0</v>
      </c>
      <c r="S1445">
        <v>0.564</v>
      </c>
      <c r="T1445" t="s">
        <v>25</v>
      </c>
    </row>
    <row r="1446" spans="1:20" ht="15">
      <c r="A1446" t="s">
        <v>19</v>
      </c>
      <c r="B1446" t="s">
        <v>20</v>
      </c>
      <c r="C1446" t="str">
        <f t="shared" si="22"/>
        <v>31-Dec-21</v>
      </c>
      <c r="D1446" t="s">
        <v>21</v>
      </c>
      <c r="E1446" t="s">
        <v>22</v>
      </c>
      <c r="F1446" t="str">
        <f>"B0561N2"</f>
        <v>B0561N2</v>
      </c>
      <c r="G1446" t="s">
        <v>1488</v>
      </c>
      <c r="I1446" t="s">
        <v>1440</v>
      </c>
      <c r="J1446">
        <v>0.879352796</v>
      </c>
      <c r="K1446">
        <v>7537</v>
      </c>
      <c r="L1446">
        <v>82463.18</v>
      </c>
      <c r="M1446">
        <v>67469.99</v>
      </c>
      <c r="N1446">
        <v>21.40088</v>
      </c>
      <c r="O1446">
        <v>161298.46</v>
      </c>
      <c r="P1446">
        <v>141838.25</v>
      </c>
      <c r="Q1446">
        <v>0</v>
      </c>
      <c r="R1446">
        <v>0</v>
      </c>
      <c r="S1446">
        <v>0.07</v>
      </c>
      <c r="T1446" t="s">
        <v>25</v>
      </c>
    </row>
    <row r="1447" spans="1:20" ht="15">
      <c r="A1447" t="s">
        <v>19</v>
      </c>
      <c r="B1447" t="s">
        <v>20</v>
      </c>
      <c r="C1447" t="str">
        <f t="shared" si="22"/>
        <v>31-Dec-21</v>
      </c>
      <c r="D1447" t="s">
        <v>21</v>
      </c>
      <c r="E1447" t="s">
        <v>22</v>
      </c>
      <c r="F1447" t="str">
        <f>"6835422"</f>
        <v>6835422</v>
      </c>
      <c r="G1447" t="s">
        <v>1489</v>
      </c>
      <c r="I1447" t="s">
        <v>1440</v>
      </c>
      <c r="J1447">
        <v>0.879352796</v>
      </c>
      <c r="K1447">
        <v>14820</v>
      </c>
      <c r="L1447">
        <v>13750.97</v>
      </c>
      <c r="M1447">
        <v>12306.77</v>
      </c>
      <c r="N1447">
        <v>4.827</v>
      </c>
      <c r="O1447">
        <v>71536.14</v>
      </c>
      <c r="P1447">
        <v>62905.5</v>
      </c>
      <c r="Q1447">
        <v>0</v>
      </c>
      <c r="R1447">
        <v>0</v>
      </c>
      <c r="S1447">
        <v>0.031</v>
      </c>
      <c r="T1447" t="s">
        <v>25</v>
      </c>
    </row>
    <row r="1448" spans="1:20" ht="15">
      <c r="A1448" t="s">
        <v>19</v>
      </c>
      <c r="B1448" t="s">
        <v>20</v>
      </c>
      <c r="C1448" t="str">
        <f t="shared" si="22"/>
        <v>31-Dec-21</v>
      </c>
      <c r="D1448" t="s">
        <v>21</v>
      </c>
      <c r="E1448" t="s">
        <v>22</v>
      </c>
      <c r="F1448" t="str">
        <f>"6808725"</f>
        <v>6808725</v>
      </c>
      <c r="G1448" t="s">
        <v>1490</v>
      </c>
      <c r="I1448" t="s">
        <v>1440</v>
      </c>
      <c r="J1448">
        <v>0.879352796</v>
      </c>
      <c r="K1448">
        <v>3600</v>
      </c>
      <c r="L1448">
        <v>10611.08</v>
      </c>
      <c r="M1448">
        <v>9203.16</v>
      </c>
      <c r="N1448">
        <v>1.96</v>
      </c>
      <c r="O1448">
        <v>7056</v>
      </c>
      <c r="P1448">
        <v>6204.71</v>
      </c>
      <c r="Q1448">
        <v>0</v>
      </c>
      <c r="R1448">
        <v>0</v>
      </c>
      <c r="S1448">
        <v>0.003</v>
      </c>
      <c r="T1448" t="s">
        <v>25</v>
      </c>
    </row>
    <row r="1449" spans="1:20" ht="15">
      <c r="A1449" t="s">
        <v>19</v>
      </c>
      <c r="B1449" t="s">
        <v>20</v>
      </c>
      <c r="C1449" t="str">
        <f t="shared" si="22"/>
        <v>31-Dec-21</v>
      </c>
      <c r="D1449" t="s">
        <v>21</v>
      </c>
      <c r="E1449" t="s">
        <v>22</v>
      </c>
      <c r="F1449" t="str">
        <f>"6798666"</f>
        <v>6798666</v>
      </c>
      <c r="G1449" t="s">
        <v>1491</v>
      </c>
      <c r="I1449" t="s">
        <v>1440</v>
      </c>
      <c r="J1449">
        <v>0.879352796</v>
      </c>
      <c r="K1449">
        <v>61776</v>
      </c>
      <c r="L1449">
        <v>74146.46</v>
      </c>
      <c r="M1449">
        <v>62114.68</v>
      </c>
      <c r="N1449">
        <v>0.911</v>
      </c>
      <c r="O1449">
        <v>56277.94</v>
      </c>
      <c r="P1449">
        <v>49488.16</v>
      </c>
      <c r="Q1449">
        <v>0</v>
      </c>
      <c r="R1449">
        <v>0</v>
      </c>
      <c r="S1449">
        <v>0.025</v>
      </c>
      <c r="T1449" t="s">
        <v>25</v>
      </c>
    </row>
    <row r="1450" spans="1:20" ht="15">
      <c r="A1450" t="s">
        <v>19</v>
      </c>
      <c r="B1450" t="s">
        <v>20</v>
      </c>
      <c r="C1450" t="str">
        <f t="shared" si="22"/>
        <v>31-Dec-21</v>
      </c>
      <c r="D1450" t="s">
        <v>21</v>
      </c>
      <c r="E1450" t="s">
        <v>22</v>
      </c>
      <c r="F1450" t="str">
        <f>"6797436"</f>
        <v>6797436</v>
      </c>
      <c r="G1450" t="s">
        <v>1492</v>
      </c>
      <c r="I1450" t="s">
        <v>1440</v>
      </c>
      <c r="J1450">
        <v>0.879352796</v>
      </c>
      <c r="K1450">
        <v>9500</v>
      </c>
      <c r="L1450">
        <v>17987.54</v>
      </c>
      <c r="M1450">
        <v>14672.38</v>
      </c>
      <c r="N1450">
        <v>1.364</v>
      </c>
      <c r="O1450">
        <v>12958</v>
      </c>
      <c r="P1450">
        <v>11394.65</v>
      </c>
      <c r="Q1450">
        <v>0</v>
      </c>
      <c r="R1450">
        <v>0</v>
      </c>
      <c r="S1450">
        <v>0.006</v>
      </c>
      <c r="T1450" t="s">
        <v>25</v>
      </c>
    </row>
    <row r="1451" spans="1:20" ht="15">
      <c r="A1451" t="s">
        <v>19</v>
      </c>
      <c r="B1451" t="s">
        <v>20</v>
      </c>
      <c r="C1451" t="str">
        <f t="shared" si="22"/>
        <v>31-Dec-21</v>
      </c>
      <c r="D1451" t="s">
        <v>21</v>
      </c>
      <c r="E1451" t="s">
        <v>22</v>
      </c>
      <c r="F1451" t="str">
        <f>"6663195"</f>
        <v>6663195</v>
      </c>
      <c r="G1451" t="s">
        <v>1493</v>
      </c>
      <c r="I1451" t="s">
        <v>1440</v>
      </c>
      <c r="J1451">
        <v>0.879352796</v>
      </c>
      <c r="K1451">
        <v>6600</v>
      </c>
      <c r="L1451">
        <v>16061.54</v>
      </c>
      <c r="M1451">
        <v>13013.26</v>
      </c>
      <c r="N1451">
        <v>0.902</v>
      </c>
      <c r="O1451">
        <v>5953.2</v>
      </c>
      <c r="P1451">
        <v>5234.96</v>
      </c>
      <c r="Q1451">
        <v>0</v>
      </c>
      <c r="R1451">
        <v>0</v>
      </c>
      <c r="S1451">
        <v>0.003</v>
      </c>
      <c r="T1451" t="s">
        <v>25</v>
      </c>
    </row>
    <row r="1452" spans="1:20" ht="15">
      <c r="A1452" t="s">
        <v>19</v>
      </c>
      <c r="B1452" t="s">
        <v>20</v>
      </c>
      <c r="C1452" t="str">
        <f t="shared" si="22"/>
        <v>31-Dec-21</v>
      </c>
      <c r="D1452" t="s">
        <v>21</v>
      </c>
      <c r="E1452" t="s">
        <v>22</v>
      </c>
      <c r="F1452" t="str">
        <f>"6018256"</f>
        <v>6018256</v>
      </c>
      <c r="G1452" t="s">
        <v>1494</v>
      </c>
      <c r="I1452" t="s">
        <v>1440</v>
      </c>
      <c r="J1452">
        <v>0.879352796</v>
      </c>
      <c r="K1452">
        <v>83760</v>
      </c>
      <c r="L1452">
        <v>51123.85</v>
      </c>
      <c r="M1452">
        <v>44559.4</v>
      </c>
      <c r="N1452">
        <v>0.285</v>
      </c>
      <c r="O1452">
        <v>23871.6</v>
      </c>
      <c r="P1452">
        <v>20991.56</v>
      </c>
      <c r="Q1452">
        <v>0</v>
      </c>
      <c r="R1452">
        <v>0</v>
      </c>
      <c r="S1452">
        <v>0.01</v>
      </c>
      <c r="T1452" t="s">
        <v>25</v>
      </c>
    </row>
    <row r="1453" spans="1:20" ht="15">
      <c r="A1453" t="s">
        <v>19</v>
      </c>
      <c r="B1453" t="s">
        <v>20</v>
      </c>
      <c r="C1453" t="str">
        <f t="shared" si="22"/>
        <v>31-Dec-21</v>
      </c>
      <c r="D1453" t="s">
        <v>21</v>
      </c>
      <c r="E1453" t="s">
        <v>22</v>
      </c>
      <c r="F1453" t="str">
        <f>"B05N809"</f>
        <v>B05N809</v>
      </c>
      <c r="G1453" t="s">
        <v>1495</v>
      </c>
      <c r="I1453" t="s">
        <v>1440</v>
      </c>
      <c r="J1453">
        <v>0.879352796</v>
      </c>
      <c r="K1453">
        <v>4026</v>
      </c>
      <c r="L1453">
        <v>80244.44</v>
      </c>
      <c r="M1453">
        <v>61154.27</v>
      </c>
      <c r="N1453">
        <v>6.2</v>
      </c>
      <c r="O1453">
        <v>24961.2</v>
      </c>
      <c r="P1453">
        <v>21949.7</v>
      </c>
      <c r="Q1453">
        <v>0</v>
      </c>
      <c r="R1453">
        <v>0</v>
      </c>
      <c r="S1453">
        <v>0.011</v>
      </c>
      <c r="T1453" t="s">
        <v>25</v>
      </c>
    </row>
    <row r="1454" spans="1:20" ht="15">
      <c r="A1454" t="s">
        <v>19</v>
      </c>
      <c r="B1454" t="s">
        <v>20</v>
      </c>
      <c r="C1454" t="str">
        <f t="shared" si="22"/>
        <v>31-Dec-21</v>
      </c>
      <c r="D1454" t="s">
        <v>21</v>
      </c>
      <c r="E1454" t="s">
        <v>22</v>
      </c>
      <c r="F1454" t="str">
        <f>"4851732"</f>
        <v>4851732</v>
      </c>
      <c r="G1454" t="s">
        <v>1496</v>
      </c>
      <c r="I1454" t="s">
        <v>1440</v>
      </c>
      <c r="J1454">
        <v>0.879352796</v>
      </c>
      <c r="K1454">
        <v>147047</v>
      </c>
      <c r="L1454">
        <v>96078.84</v>
      </c>
      <c r="M1454">
        <v>77608.75</v>
      </c>
      <c r="N1454">
        <v>0.53036</v>
      </c>
      <c r="O1454">
        <v>77987.23</v>
      </c>
      <c r="P1454">
        <v>68578.29</v>
      </c>
      <c r="Q1454">
        <v>0</v>
      </c>
      <c r="R1454">
        <v>0</v>
      </c>
      <c r="S1454">
        <v>0.034</v>
      </c>
      <c r="T1454" t="s">
        <v>25</v>
      </c>
    </row>
    <row r="1455" spans="1:20" ht="15">
      <c r="A1455" t="s">
        <v>19</v>
      </c>
      <c r="B1455" t="s">
        <v>20</v>
      </c>
      <c r="C1455" t="str">
        <f t="shared" si="22"/>
        <v>31-Dec-21</v>
      </c>
      <c r="D1455" t="s">
        <v>21</v>
      </c>
      <c r="E1455" t="s">
        <v>22</v>
      </c>
      <c r="F1455" t="str">
        <f>"5005884"</f>
        <v>5005884</v>
      </c>
      <c r="G1455" t="s">
        <v>1497</v>
      </c>
      <c r="I1455" t="s">
        <v>1440</v>
      </c>
      <c r="J1455">
        <v>0.879352796</v>
      </c>
      <c r="K1455">
        <v>213415</v>
      </c>
      <c r="L1455">
        <v>141375.84</v>
      </c>
      <c r="M1455">
        <v>129742.04</v>
      </c>
      <c r="N1455">
        <v>0.51302</v>
      </c>
      <c r="O1455">
        <v>109487</v>
      </c>
      <c r="P1455">
        <v>96277.7</v>
      </c>
      <c r="Q1455">
        <v>0</v>
      </c>
      <c r="R1455">
        <v>0</v>
      </c>
      <c r="S1455">
        <v>0.048</v>
      </c>
      <c r="T1455" t="s">
        <v>25</v>
      </c>
    </row>
    <row r="1456" spans="1:20" ht="15">
      <c r="A1456" t="s">
        <v>19</v>
      </c>
      <c r="B1456" t="s">
        <v>20</v>
      </c>
      <c r="C1456" t="str">
        <f t="shared" si="22"/>
        <v>31-Dec-21</v>
      </c>
      <c r="D1456" t="s">
        <v>21</v>
      </c>
      <c r="E1456" t="s">
        <v>22</v>
      </c>
      <c r="F1456" t="str">
        <f>"874080104"</f>
        <v>874080104</v>
      </c>
      <c r="G1456" t="s">
        <v>1498</v>
      </c>
      <c r="I1456" t="s">
        <v>1440</v>
      </c>
      <c r="J1456">
        <v>0.879352796</v>
      </c>
      <c r="K1456">
        <v>15016</v>
      </c>
      <c r="L1456">
        <v>599753.86</v>
      </c>
      <c r="M1456">
        <v>518737.86</v>
      </c>
      <c r="N1456">
        <v>3.93</v>
      </c>
      <c r="O1456">
        <v>59012.88</v>
      </c>
      <c r="P1456">
        <v>51893.14</v>
      </c>
      <c r="Q1456">
        <v>0</v>
      </c>
      <c r="R1456">
        <v>0</v>
      </c>
      <c r="S1456">
        <v>0.026</v>
      </c>
      <c r="T1456" t="s">
        <v>25</v>
      </c>
    </row>
    <row r="1457" spans="1:20" ht="15">
      <c r="A1457" t="s">
        <v>19</v>
      </c>
      <c r="B1457" t="s">
        <v>20</v>
      </c>
      <c r="C1457" t="str">
        <f t="shared" si="22"/>
        <v>31-Dec-21</v>
      </c>
      <c r="D1457" t="s">
        <v>21</v>
      </c>
      <c r="E1457" t="s">
        <v>22</v>
      </c>
      <c r="F1457" t="str">
        <f>"5452208"</f>
        <v>5452208</v>
      </c>
      <c r="G1457" t="s">
        <v>1499</v>
      </c>
      <c r="I1457" t="s">
        <v>1440</v>
      </c>
      <c r="J1457">
        <v>0.879352796</v>
      </c>
      <c r="K1457">
        <v>46848</v>
      </c>
      <c r="L1457">
        <v>343385</v>
      </c>
      <c r="M1457">
        <v>287908.55</v>
      </c>
      <c r="N1457">
        <v>6.67278</v>
      </c>
      <c r="O1457">
        <v>312606.27</v>
      </c>
      <c r="P1457">
        <v>274891.2</v>
      </c>
      <c r="Q1457">
        <v>0</v>
      </c>
      <c r="R1457">
        <v>0</v>
      </c>
      <c r="S1457">
        <v>0.136</v>
      </c>
      <c r="T1457" t="s">
        <v>25</v>
      </c>
    </row>
    <row r="1458" spans="1:20" ht="15">
      <c r="A1458" t="s">
        <v>19</v>
      </c>
      <c r="B1458" t="s">
        <v>20</v>
      </c>
      <c r="C1458" t="str">
        <f t="shared" si="22"/>
        <v>31-Dec-21</v>
      </c>
      <c r="D1458" t="s">
        <v>21</v>
      </c>
      <c r="E1458" t="s">
        <v>22</v>
      </c>
      <c r="F1458" t="str">
        <f>"5452219"</f>
        <v>5452219</v>
      </c>
      <c r="G1458" t="s">
        <v>1500</v>
      </c>
      <c r="I1458" t="s">
        <v>1440</v>
      </c>
      <c r="J1458">
        <v>0.879352796</v>
      </c>
      <c r="K1458">
        <v>5305</v>
      </c>
      <c r="L1458">
        <v>39150.36</v>
      </c>
      <c r="M1458">
        <v>32162.96</v>
      </c>
      <c r="N1458">
        <v>6.12349</v>
      </c>
      <c r="O1458">
        <v>32485.11</v>
      </c>
      <c r="P1458">
        <v>28565.87</v>
      </c>
      <c r="Q1458">
        <v>0</v>
      </c>
      <c r="R1458">
        <v>0</v>
      </c>
      <c r="S1458">
        <v>0.014</v>
      </c>
      <c r="T1458" t="s">
        <v>25</v>
      </c>
    </row>
    <row r="1459" spans="1:20" ht="15">
      <c r="A1459" t="s">
        <v>19</v>
      </c>
      <c r="B1459" t="s">
        <v>20</v>
      </c>
      <c r="C1459" t="str">
        <f t="shared" si="22"/>
        <v>31-Dec-21</v>
      </c>
      <c r="D1459" t="s">
        <v>21</v>
      </c>
      <c r="E1459" t="s">
        <v>22</v>
      </c>
      <c r="F1459" t="str">
        <f>"88034P109"</f>
        <v>88034P109</v>
      </c>
      <c r="G1459" t="s">
        <v>1501</v>
      </c>
      <c r="I1459" t="s">
        <v>1440</v>
      </c>
      <c r="J1459">
        <v>0.879352796</v>
      </c>
      <c r="K1459">
        <v>18019</v>
      </c>
      <c r="L1459">
        <v>244806.26</v>
      </c>
      <c r="M1459">
        <v>219246.11</v>
      </c>
      <c r="N1459">
        <v>6.85</v>
      </c>
      <c r="O1459">
        <v>123430.15</v>
      </c>
      <c r="P1459">
        <v>108538.65</v>
      </c>
      <c r="Q1459">
        <v>0</v>
      </c>
      <c r="R1459">
        <v>0</v>
      </c>
      <c r="S1459">
        <v>0.054</v>
      </c>
      <c r="T1459" t="s">
        <v>25</v>
      </c>
    </row>
    <row r="1460" spans="1:20" ht="15">
      <c r="A1460" t="s">
        <v>19</v>
      </c>
      <c r="B1460" t="s">
        <v>20</v>
      </c>
      <c r="C1460" t="str">
        <f t="shared" si="22"/>
        <v>31-Dec-21</v>
      </c>
      <c r="D1460" t="s">
        <v>21</v>
      </c>
      <c r="E1460" t="s">
        <v>22</v>
      </c>
      <c r="F1460" t="str">
        <f>"5404726"</f>
        <v>5404726</v>
      </c>
      <c r="G1460" t="s">
        <v>1502</v>
      </c>
      <c r="I1460" t="s">
        <v>1440</v>
      </c>
      <c r="J1460">
        <v>0.879352796</v>
      </c>
      <c r="K1460">
        <v>58</v>
      </c>
      <c r="L1460">
        <v>153635.66</v>
      </c>
      <c r="M1460">
        <v>124068.78</v>
      </c>
      <c r="N1460">
        <v>2117.1569</v>
      </c>
      <c r="O1460">
        <v>122795.1</v>
      </c>
      <c r="P1460">
        <v>107980.21</v>
      </c>
      <c r="Q1460">
        <v>0</v>
      </c>
      <c r="R1460">
        <v>0</v>
      </c>
      <c r="S1460">
        <v>0.054</v>
      </c>
      <c r="T1460" t="s">
        <v>25</v>
      </c>
    </row>
    <row r="1461" spans="1:20" ht="15">
      <c r="A1461" t="s">
        <v>19</v>
      </c>
      <c r="B1461" t="s">
        <v>20</v>
      </c>
      <c r="C1461" t="str">
        <f t="shared" si="22"/>
        <v>31-Dec-21</v>
      </c>
      <c r="D1461" t="s">
        <v>21</v>
      </c>
      <c r="E1461" t="s">
        <v>22</v>
      </c>
      <c r="F1461" t="str">
        <f>"89677Q107"</f>
        <v>89677Q107</v>
      </c>
      <c r="G1461" t="s">
        <v>1503</v>
      </c>
      <c r="I1461" t="s">
        <v>1440</v>
      </c>
      <c r="J1461">
        <v>0.879352796</v>
      </c>
      <c r="K1461">
        <v>17568</v>
      </c>
      <c r="L1461">
        <v>739064.63</v>
      </c>
      <c r="M1461">
        <v>629821.95</v>
      </c>
      <c r="N1461">
        <v>24.62</v>
      </c>
      <c r="O1461">
        <v>432524.16</v>
      </c>
      <c r="P1461">
        <v>380341.33</v>
      </c>
      <c r="Q1461">
        <v>0</v>
      </c>
      <c r="R1461">
        <v>0</v>
      </c>
      <c r="S1461">
        <v>0.189</v>
      </c>
      <c r="T1461" t="s">
        <v>25</v>
      </c>
    </row>
    <row r="1462" spans="1:20" ht="15">
      <c r="A1462" t="s">
        <v>19</v>
      </c>
      <c r="B1462" t="s">
        <v>20</v>
      </c>
      <c r="C1462" t="str">
        <f t="shared" si="22"/>
        <v>31-Dec-21</v>
      </c>
      <c r="D1462" t="s">
        <v>21</v>
      </c>
      <c r="E1462" t="s">
        <v>22</v>
      </c>
      <c r="F1462" t="str">
        <f>"B59LXW1"</f>
        <v>B59LXW1</v>
      </c>
      <c r="G1462" t="s">
        <v>1504</v>
      </c>
      <c r="I1462" t="s">
        <v>1440</v>
      </c>
      <c r="J1462">
        <v>0.879352796</v>
      </c>
      <c r="K1462">
        <v>286799</v>
      </c>
      <c r="L1462">
        <v>13868.99</v>
      </c>
      <c r="M1462">
        <v>12091.2</v>
      </c>
      <c r="N1462">
        <v>0.03482</v>
      </c>
      <c r="O1462">
        <v>9987.42</v>
      </c>
      <c r="P1462">
        <v>8782.47</v>
      </c>
      <c r="Q1462">
        <v>0</v>
      </c>
      <c r="R1462">
        <v>0</v>
      </c>
      <c r="S1462">
        <v>0.004</v>
      </c>
      <c r="T1462" t="s">
        <v>25</v>
      </c>
    </row>
    <row r="1463" spans="1:20" ht="15">
      <c r="A1463" t="s">
        <v>19</v>
      </c>
      <c r="B1463" t="s">
        <v>20</v>
      </c>
      <c r="C1463" t="str">
        <f t="shared" si="22"/>
        <v>31-Dec-21</v>
      </c>
      <c r="D1463" t="s">
        <v>21</v>
      </c>
      <c r="E1463" t="s">
        <v>22</v>
      </c>
      <c r="F1463" t="str">
        <f>"B1WMD67"</f>
        <v>B1WMD67</v>
      </c>
      <c r="G1463" t="s">
        <v>1505</v>
      </c>
      <c r="I1463" t="s">
        <v>1440</v>
      </c>
      <c r="J1463">
        <v>0.879352796</v>
      </c>
      <c r="K1463">
        <v>185874315</v>
      </c>
      <c r="L1463">
        <v>204379.84</v>
      </c>
      <c r="M1463">
        <v>162884.7</v>
      </c>
      <c r="N1463">
        <v>0</v>
      </c>
      <c r="O1463">
        <v>119693.08</v>
      </c>
      <c r="P1463">
        <v>105252.44</v>
      </c>
      <c r="Q1463">
        <v>0</v>
      </c>
      <c r="R1463">
        <v>0</v>
      </c>
      <c r="S1463">
        <v>0.052</v>
      </c>
      <c r="T1463" t="s">
        <v>25</v>
      </c>
    </row>
    <row r="1464" spans="1:20" ht="15">
      <c r="A1464" t="s">
        <v>19</v>
      </c>
      <c r="B1464" t="s">
        <v>20</v>
      </c>
      <c r="C1464" t="str">
        <f t="shared" si="22"/>
        <v>31-Dec-21</v>
      </c>
      <c r="D1464" t="s">
        <v>21</v>
      </c>
      <c r="E1464" t="s">
        <v>22</v>
      </c>
      <c r="F1464" t="str">
        <f>"92763W103"</f>
        <v>92763W103</v>
      </c>
      <c r="G1464" t="s">
        <v>1506</v>
      </c>
      <c r="I1464" t="s">
        <v>1440</v>
      </c>
      <c r="J1464">
        <v>0.879352796</v>
      </c>
      <c r="K1464">
        <v>14115</v>
      </c>
      <c r="L1464">
        <v>202643.9</v>
      </c>
      <c r="M1464">
        <v>169801.44</v>
      </c>
      <c r="N1464">
        <v>8.4</v>
      </c>
      <c r="O1464">
        <v>118566</v>
      </c>
      <c r="P1464">
        <v>104261.34</v>
      </c>
      <c r="Q1464">
        <v>0</v>
      </c>
      <c r="R1464">
        <v>0</v>
      </c>
      <c r="S1464">
        <v>0.052</v>
      </c>
      <c r="T1464" t="s">
        <v>25</v>
      </c>
    </row>
    <row r="1465" spans="1:20" ht="15">
      <c r="A1465" t="s">
        <v>19</v>
      </c>
      <c r="B1465" t="s">
        <v>20</v>
      </c>
      <c r="C1465" t="str">
        <f t="shared" si="22"/>
        <v>31-Dec-21</v>
      </c>
      <c r="D1465" t="s">
        <v>21</v>
      </c>
      <c r="E1465" t="s">
        <v>22</v>
      </c>
      <c r="F1465" t="str">
        <f>"948596101"</f>
        <v>948596101</v>
      </c>
      <c r="G1465" t="s">
        <v>1507</v>
      </c>
      <c r="I1465" t="s">
        <v>1440</v>
      </c>
      <c r="J1465">
        <v>0.879352796</v>
      </c>
      <c r="K1465">
        <v>2202</v>
      </c>
      <c r="L1465">
        <v>197480.17</v>
      </c>
      <c r="M1465">
        <v>167137.68</v>
      </c>
      <c r="N1465">
        <v>30.98</v>
      </c>
      <c r="O1465">
        <v>68217.96</v>
      </c>
      <c r="P1465">
        <v>59987.65</v>
      </c>
      <c r="Q1465">
        <v>0</v>
      </c>
      <c r="R1465">
        <v>0</v>
      </c>
      <c r="S1465">
        <v>0.03</v>
      </c>
      <c r="T1465" t="s">
        <v>25</v>
      </c>
    </row>
    <row r="1466" spans="1:20" ht="15">
      <c r="A1466" t="s">
        <v>19</v>
      </c>
      <c r="B1466" t="s">
        <v>20</v>
      </c>
      <c r="C1466" t="str">
        <f t="shared" si="22"/>
        <v>31-Dec-21</v>
      </c>
      <c r="D1466" t="s">
        <v>21</v>
      </c>
      <c r="E1466" t="s">
        <v>22</v>
      </c>
      <c r="F1466" t="str">
        <f>"98422D105"</f>
        <v>98422D105</v>
      </c>
      <c r="G1466" t="s">
        <v>1508</v>
      </c>
      <c r="I1466" t="s">
        <v>1440</v>
      </c>
      <c r="J1466">
        <v>0.879352796</v>
      </c>
      <c r="K1466">
        <v>15617</v>
      </c>
      <c r="L1466">
        <v>647413.89</v>
      </c>
      <c r="M1466">
        <v>544285.18</v>
      </c>
      <c r="N1466">
        <v>50.33</v>
      </c>
      <c r="O1466">
        <v>786003.61</v>
      </c>
      <c r="P1466">
        <v>691174.47</v>
      </c>
      <c r="Q1466">
        <v>0</v>
      </c>
      <c r="R1466">
        <v>0</v>
      </c>
      <c r="S1466">
        <v>0.343</v>
      </c>
      <c r="T1466" t="s">
        <v>25</v>
      </c>
    </row>
    <row r="1467" spans="1:20" ht="15">
      <c r="A1467" t="s">
        <v>19</v>
      </c>
      <c r="B1467" t="s">
        <v>20</v>
      </c>
      <c r="C1467" t="str">
        <f t="shared" si="22"/>
        <v>31-Dec-21</v>
      </c>
      <c r="D1467" t="s">
        <v>21</v>
      </c>
      <c r="E1467" t="s">
        <v>22</v>
      </c>
      <c r="F1467" t="str">
        <f>"98980A105"</f>
        <v>98980A105</v>
      </c>
      <c r="G1467" t="s">
        <v>1509</v>
      </c>
      <c r="I1467" t="s">
        <v>1440</v>
      </c>
      <c r="J1467">
        <v>0.879352796</v>
      </c>
      <c r="K1467">
        <v>4305</v>
      </c>
      <c r="L1467">
        <v>88989.07</v>
      </c>
      <c r="M1467">
        <v>76697.01</v>
      </c>
      <c r="N1467">
        <v>28.22</v>
      </c>
      <c r="O1467">
        <v>121487.1</v>
      </c>
      <c r="P1467">
        <v>106830.02</v>
      </c>
      <c r="Q1467">
        <v>0</v>
      </c>
      <c r="R1467">
        <v>0</v>
      </c>
      <c r="S1467">
        <v>0.053</v>
      </c>
      <c r="T1467" t="s">
        <v>25</v>
      </c>
    </row>
    <row r="1468" spans="1:20" ht="15">
      <c r="A1468" t="s">
        <v>19</v>
      </c>
      <c r="B1468" t="s">
        <v>20</v>
      </c>
      <c r="C1468" t="str">
        <f t="shared" si="22"/>
        <v>31-Dec-21</v>
      </c>
      <c r="D1468" t="s">
        <v>21</v>
      </c>
      <c r="E1468" t="s">
        <v>22</v>
      </c>
      <c r="F1468" t="str">
        <f>"98887Q104"</f>
        <v>98887Q104</v>
      </c>
      <c r="G1468" t="s">
        <v>1510</v>
      </c>
      <c r="I1468" t="s">
        <v>1440</v>
      </c>
      <c r="J1468">
        <v>0.879352796</v>
      </c>
      <c r="K1468">
        <v>1719</v>
      </c>
      <c r="L1468">
        <v>138460.64</v>
      </c>
      <c r="M1468">
        <v>116993.58</v>
      </c>
      <c r="N1468">
        <v>62.85</v>
      </c>
      <c r="O1468">
        <v>108039.15</v>
      </c>
      <c r="P1468">
        <v>95004.53</v>
      </c>
      <c r="Q1468">
        <v>0</v>
      </c>
      <c r="R1468">
        <v>0</v>
      </c>
      <c r="S1468">
        <v>0.047</v>
      </c>
      <c r="T1468" t="s">
        <v>25</v>
      </c>
    </row>
    <row r="1469" spans="1:20" ht="15">
      <c r="A1469" t="s">
        <v>19</v>
      </c>
      <c r="B1469" t="s">
        <v>20</v>
      </c>
      <c r="C1469" t="str">
        <f t="shared" si="22"/>
        <v>31-Dec-21</v>
      </c>
      <c r="D1469" t="s">
        <v>21</v>
      </c>
      <c r="E1469" t="s">
        <v>22</v>
      </c>
      <c r="F1469" t="str">
        <f>"46267X108"</f>
        <v>46267X108</v>
      </c>
      <c r="G1469" t="s">
        <v>1511</v>
      </c>
      <c r="I1469" t="s">
        <v>1440</v>
      </c>
      <c r="J1469">
        <v>0.879352796</v>
      </c>
      <c r="K1469">
        <v>10011</v>
      </c>
      <c r="L1469">
        <v>228037.68</v>
      </c>
      <c r="M1469">
        <v>198155.93</v>
      </c>
      <c r="N1469">
        <v>4.56</v>
      </c>
      <c r="O1469">
        <v>45650.16</v>
      </c>
      <c r="P1469">
        <v>40142.6</v>
      </c>
      <c r="Q1469">
        <v>0</v>
      </c>
      <c r="R1469">
        <v>0</v>
      </c>
      <c r="S1469">
        <v>0.02</v>
      </c>
      <c r="T1469" t="s">
        <v>25</v>
      </c>
    </row>
    <row r="1470" spans="1:19" ht="15">
      <c r="A1470" t="s">
        <v>19</v>
      </c>
      <c r="B1470" t="s">
        <v>20</v>
      </c>
      <c r="C1470" t="str">
        <f t="shared" si="22"/>
        <v>31-Dec-21</v>
      </c>
      <c r="D1470" t="s">
        <v>21</v>
      </c>
      <c r="E1470" t="s">
        <v>1512</v>
      </c>
      <c r="F1470" t="str">
        <f>"MEMH2"</f>
        <v>MEMH2</v>
      </c>
      <c r="G1470" t="s">
        <v>1513</v>
      </c>
      <c r="I1470" t="s">
        <v>1440</v>
      </c>
      <c r="J1470">
        <v>0.879352796</v>
      </c>
      <c r="K1470">
        <v>36</v>
      </c>
      <c r="L1470">
        <v>2187295</v>
      </c>
      <c r="M1470">
        <v>1935864.12</v>
      </c>
      <c r="N1470">
        <v>1226.3</v>
      </c>
      <c r="O1470">
        <v>2207340</v>
      </c>
      <c r="P1470">
        <v>1941030.64</v>
      </c>
      <c r="Q1470">
        <v>0</v>
      </c>
      <c r="R1470">
        <v>0</v>
      </c>
      <c r="S1470">
        <v>0</v>
      </c>
    </row>
    <row r="1471" spans="1:20" ht="15">
      <c r="A1471" t="s">
        <v>19</v>
      </c>
      <c r="B1471" t="s">
        <v>20</v>
      </c>
      <c r="C1471" t="str">
        <f t="shared" si="22"/>
        <v>31-Dec-21</v>
      </c>
      <c r="D1471" t="s">
        <v>21</v>
      </c>
      <c r="E1471" t="s">
        <v>39</v>
      </c>
      <c r="I1471" t="s">
        <v>1440</v>
      </c>
      <c r="J1471">
        <v>0.879352796</v>
      </c>
      <c r="K1471">
        <v>0</v>
      </c>
      <c r="L1471">
        <v>1119114.49</v>
      </c>
      <c r="M1471">
        <v>988685.82</v>
      </c>
      <c r="N1471">
        <v>0</v>
      </c>
      <c r="O1471">
        <v>1119114.49</v>
      </c>
      <c r="P1471">
        <v>984096.46</v>
      </c>
      <c r="Q1471">
        <v>0</v>
      </c>
      <c r="R1471">
        <v>0</v>
      </c>
      <c r="S1471">
        <v>0.488</v>
      </c>
      <c r="T1471" t="s">
        <v>557</v>
      </c>
    </row>
    <row r="1472" spans="1:20" ht="15">
      <c r="A1472" t="s">
        <v>19</v>
      </c>
      <c r="B1472" t="s">
        <v>20</v>
      </c>
      <c r="C1472" t="str">
        <f t="shared" si="22"/>
        <v>31-Dec-21</v>
      </c>
      <c r="D1472" t="s">
        <v>21</v>
      </c>
      <c r="E1472" t="s">
        <v>22</v>
      </c>
      <c r="F1472" t="str">
        <f>"6040958"</f>
        <v>6040958</v>
      </c>
      <c r="G1472" t="s">
        <v>1514</v>
      </c>
      <c r="I1472" t="s">
        <v>1515</v>
      </c>
      <c r="J1472">
        <v>0.055097293</v>
      </c>
      <c r="K1472">
        <v>12174</v>
      </c>
      <c r="L1472">
        <v>940197.98</v>
      </c>
      <c r="M1472">
        <v>60169.6</v>
      </c>
      <c r="N1472">
        <v>73.9</v>
      </c>
      <c r="O1472">
        <v>899658.6</v>
      </c>
      <c r="P1472">
        <v>49568.75</v>
      </c>
      <c r="Q1472">
        <v>0</v>
      </c>
      <c r="R1472">
        <v>0</v>
      </c>
      <c r="S1472">
        <v>0.025</v>
      </c>
      <c r="T1472" t="s">
        <v>25</v>
      </c>
    </row>
    <row r="1473" spans="1:20" ht="15">
      <c r="A1473" t="s">
        <v>19</v>
      </c>
      <c r="B1473" t="s">
        <v>20</v>
      </c>
      <c r="C1473" t="str">
        <f t="shared" si="22"/>
        <v>31-Dec-21</v>
      </c>
      <c r="D1473" t="s">
        <v>21</v>
      </c>
      <c r="E1473" t="s">
        <v>22</v>
      </c>
      <c r="F1473" t="str">
        <f>"BFX05H3"</f>
        <v>BFX05H3</v>
      </c>
      <c r="G1473" t="s">
        <v>1516</v>
      </c>
      <c r="I1473" t="s">
        <v>1515</v>
      </c>
      <c r="J1473">
        <v>0.055097293</v>
      </c>
      <c r="K1473">
        <v>22657</v>
      </c>
      <c r="L1473">
        <v>3356841.43</v>
      </c>
      <c r="M1473">
        <v>224112.66</v>
      </c>
      <c r="N1473">
        <v>152.55</v>
      </c>
      <c r="O1473">
        <v>3456325.35</v>
      </c>
      <c r="P1473">
        <v>190434.17</v>
      </c>
      <c r="Q1473">
        <v>0</v>
      </c>
      <c r="R1473">
        <v>0</v>
      </c>
      <c r="S1473">
        <v>0.094</v>
      </c>
      <c r="T1473" t="s">
        <v>25</v>
      </c>
    </row>
    <row r="1474" spans="1:20" ht="15">
      <c r="A1474" t="s">
        <v>19</v>
      </c>
      <c r="B1474" t="s">
        <v>20</v>
      </c>
      <c r="C1474" t="str">
        <f aca="true" t="shared" si="23" ref="C1474:C1529">"31-Dec-21"</f>
        <v>31-Dec-21</v>
      </c>
      <c r="D1474" t="s">
        <v>21</v>
      </c>
      <c r="E1474" t="s">
        <v>22</v>
      </c>
      <c r="F1474" t="str">
        <f>"6041122"</f>
        <v>6041122</v>
      </c>
      <c r="G1474" t="s">
        <v>1517</v>
      </c>
      <c r="I1474" t="s">
        <v>1515</v>
      </c>
      <c r="J1474">
        <v>0.055097293</v>
      </c>
      <c r="K1474">
        <v>2414</v>
      </c>
      <c r="L1474">
        <v>348890.03</v>
      </c>
      <c r="M1474">
        <v>24680.24</v>
      </c>
      <c r="N1474">
        <v>231.22</v>
      </c>
      <c r="O1474">
        <v>558165.08</v>
      </c>
      <c r="P1474">
        <v>30753.38</v>
      </c>
      <c r="Q1474">
        <v>0</v>
      </c>
      <c r="R1474">
        <v>0</v>
      </c>
      <c r="S1474">
        <v>0.015</v>
      </c>
      <c r="T1474" t="s">
        <v>25</v>
      </c>
    </row>
    <row r="1475" spans="1:20" ht="15">
      <c r="A1475" t="s">
        <v>19</v>
      </c>
      <c r="B1475" t="s">
        <v>20</v>
      </c>
      <c r="C1475" t="str">
        <f t="shared" si="23"/>
        <v>31-Dec-21</v>
      </c>
      <c r="D1475" t="s">
        <v>21</v>
      </c>
      <c r="E1475" t="s">
        <v>22</v>
      </c>
      <c r="F1475" t="str">
        <f>"6761000"</f>
        <v>6761000</v>
      </c>
      <c r="G1475" t="s">
        <v>1518</v>
      </c>
      <c r="I1475" t="s">
        <v>1515</v>
      </c>
      <c r="J1475">
        <v>0.055097293</v>
      </c>
      <c r="K1475">
        <v>2043</v>
      </c>
      <c r="L1475">
        <v>879876.34</v>
      </c>
      <c r="M1475">
        <v>58904.8</v>
      </c>
      <c r="N1475">
        <v>1816.77</v>
      </c>
      <c r="O1475">
        <v>3711661.11</v>
      </c>
      <c r="P1475">
        <v>204502.48</v>
      </c>
      <c r="Q1475">
        <v>0</v>
      </c>
      <c r="R1475">
        <v>0</v>
      </c>
      <c r="S1475">
        <v>0.101</v>
      </c>
      <c r="T1475" t="s">
        <v>25</v>
      </c>
    </row>
    <row r="1476" spans="1:20" ht="15">
      <c r="A1476" t="s">
        <v>19</v>
      </c>
      <c r="B1476" t="s">
        <v>20</v>
      </c>
      <c r="C1476" t="str">
        <f t="shared" si="23"/>
        <v>31-Dec-21</v>
      </c>
      <c r="D1476" t="s">
        <v>21</v>
      </c>
      <c r="E1476" t="s">
        <v>22</v>
      </c>
      <c r="F1476" t="str">
        <f>"6565655"</f>
        <v>6565655</v>
      </c>
      <c r="G1476" t="s">
        <v>1519</v>
      </c>
      <c r="I1476" t="s">
        <v>1515</v>
      </c>
      <c r="J1476">
        <v>0.055097293</v>
      </c>
      <c r="K1476">
        <v>13143</v>
      </c>
      <c r="L1476">
        <v>2482570.12</v>
      </c>
      <c r="M1476">
        <v>160176.01</v>
      </c>
      <c r="N1476">
        <v>328.7</v>
      </c>
      <c r="O1476">
        <v>4320104.1</v>
      </c>
      <c r="P1476">
        <v>238026.04</v>
      </c>
      <c r="Q1476">
        <v>0</v>
      </c>
      <c r="R1476">
        <v>0</v>
      </c>
      <c r="S1476">
        <v>0.118</v>
      </c>
      <c r="T1476" t="s">
        <v>25</v>
      </c>
    </row>
    <row r="1477" spans="1:20" ht="15">
      <c r="A1477" t="s">
        <v>19</v>
      </c>
      <c r="B1477" t="s">
        <v>20</v>
      </c>
      <c r="C1477" t="str">
        <f t="shared" si="23"/>
        <v>31-Dec-21</v>
      </c>
      <c r="D1477" t="s">
        <v>21</v>
      </c>
      <c r="E1477" t="s">
        <v>22</v>
      </c>
      <c r="F1477" t="str">
        <f>"B09C0Z1"</f>
        <v>B09C0Z1</v>
      </c>
      <c r="G1477" t="s">
        <v>1520</v>
      </c>
      <c r="I1477" t="s">
        <v>1515</v>
      </c>
      <c r="J1477">
        <v>0.055097293</v>
      </c>
      <c r="K1477">
        <v>12862</v>
      </c>
      <c r="L1477">
        <v>3661235.2</v>
      </c>
      <c r="M1477">
        <v>248442.47</v>
      </c>
      <c r="N1477">
        <v>224.44</v>
      </c>
      <c r="O1477">
        <v>2886747.28</v>
      </c>
      <c r="P1477">
        <v>159051.96</v>
      </c>
      <c r="Q1477">
        <v>0</v>
      </c>
      <c r="R1477">
        <v>0</v>
      </c>
      <c r="S1477">
        <v>0.079</v>
      </c>
      <c r="T1477" t="s">
        <v>25</v>
      </c>
    </row>
    <row r="1478" spans="1:20" ht="15">
      <c r="A1478" t="s">
        <v>19</v>
      </c>
      <c r="B1478" t="s">
        <v>20</v>
      </c>
      <c r="C1478" t="str">
        <f t="shared" si="23"/>
        <v>31-Dec-21</v>
      </c>
      <c r="D1478" t="s">
        <v>21</v>
      </c>
      <c r="E1478" t="s">
        <v>22</v>
      </c>
      <c r="F1478" t="str">
        <f>"6079123"</f>
        <v>6079123</v>
      </c>
      <c r="G1478" t="s">
        <v>1521</v>
      </c>
      <c r="I1478" t="s">
        <v>1515</v>
      </c>
      <c r="J1478">
        <v>0.055097293</v>
      </c>
      <c r="K1478">
        <v>6024</v>
      </c>
      <c r="L1478">
        <v>616956.64</v>
      </c>
      <c r="M1478">
        <v>42220.04</v>
      </c>
      <c r="N1478">
        <v>150.37</v>
      </c>
      <c r="O1478">
        <v>905828.88</v>
      </c>
      <c r="P1478">
        <v>49908.72</v>
      </c>
      <c r="Q1478">
        <v>0</v>
      </c>
      <c r="R1478">
        <v>0</v>
      </c>
      <c r="S1478">
        <v>0.025</v>
      </c>
      <c r="T1478" t="s">
        <v>25</v>
      </c>
    </row>
    <row r="1479" spans="1:20" ht="15">
      <c r="A1479" t="s">
        <v>19</v>
      </c>
      <c r="B1479" t="s">
        <v>20</v>
      </c>
      <c r="C1479" t="str">
        <f t="shared" si="23"/>
        <v>31-Dec-21</v>
      </c>
      <c r="D1479" t="s">
        <v>21</v>
      </c>
      <c r="E1479" t="s">
        <v>22</v>
      </c>
      <c r="F1479" t="str">
        <f>"BZBFKT7"</f>
        <v>BZBFKT7</v>
      </c>
      <c r="G1479" t="s">
        <v>1522</v>
      </c>
      <c r="I1479" t="s">
        <v>1515</v>
      </c>
      <c r="J1479">
        <v>0.055097293</v>
      </c>
      <c r="K1479">
        <v>10630</v>
      </c>
      <c r="L1479">
        <v>2494098.84</v>
      </c>
      <c r="M1479">
        <v>164058.95</v>
      </c>
      <c r="N1479">
        <v>326.43</v>
      </c>
      <c r="O1479">
        <v>3469950.9</v>
      </c>
      <c r="P1479">
        <v>191184.9</v>
      </c>
      <c r="Q1479">
        <v>0</v>
      </c>
      <c r="R1479">
        <v>0</v>
      </c>
      <c r="S1479">
        <v>0.095</v>
      </c>
      <c r="T1479" t="s">
        <v>25</v>
      </c>
    </row>
    <row r="1480" spans="1:20" ht="15">
      <c r="A1480" t="s">
        <v>19</v>
      </c>
      <c r="B1480" t="s">
        <v>20</v>
      </c>
      <c r="C1480" t="str">
        <f t="shared" si="23"/>
        <v>31-Dec-21</v>
      </c>
      <c r="D1480" t="s">
        <v>21</v>
      </c>
      <c r="E1480" t="s">
        <v>22</v>
      </c>
      <c r="F1480" t="str">
        <f>"6100089"</f>
        <v>6100089</v>
      </c>
      <c r="G1480" t="s">
        <v>1523</v>
      </c>
      <c r="I1480" t="s">
        <v>1515</v>
      </c>
      <c r="J1480">
        <v>0.055097293</v>
      </c>
      <c r="K1480">
        <v>10561</v>
      </c>
      <c r="L1480">
        <v>1211416.56</v>
      </c>
      <c r="M1480">
        <v>80157.77</v>
      </c>
      <c r="N1480">
        <v>189.45</v>
      </c>
      <c r="O1480">
        <v>2000781.45</v>
      </c>
      <c r="P1480">
        <v>110237.64</v>
      </c>
      <c r="Q1480">
        <v>0</v>
      </c>
      <c r="R1480">
        <v>0</v>
      </c>
      <c r="S1480">
        <v>0.055</v>
      </c>
      <c r="T1480" t="s">
        <v>25</v>
      </c>
    </row>
    <row r="1481" spans="1:20" ht="15">
      <c r="A1481" t="s">
        <v>19</v>
      </c>
      <c r="B1481" t="s">
        <v>20</v>
      </c>
      <c r="C1481" t="str">
        <f t="shared" si="23"/>
        <v>31-Dec-21</v>
      </c>
      <c r="D1481" t="s">
        <v>21</v>
      </c>
      <c r="E1481" t="s">
        <v>22</v>
      </c>
      <c r="F1481" t="str">
        <f>"6440859"</f>
        <v>6440859</v>
      </c>
      <c r="G1481" t="s">
        <v>1524</v>
      </c>
      <c r="I1481" t="s">
        <v>1515</v>
      </c>
      <c r="J1481">
        <v>0.055097293</v>
      </c>
      <c r="K1481">
        <v>2762</v>
      </c>
      <c r="L1481">
        <v>2216608.25</v>
      </c>
      <c r="M1481">
        <v>135250.37</v>
      </c>
      <c r="N1481">
        <v>2039.8</v>
      </c>
      <c r="O1481">
        <v>5633927.6</v>
      </c>
      <c r="P1481">
        <v>310414.16</v>
      </c>
      <c r="Q1481">
        <v>0</v>
      </c>
      <c r="R1481">
        <v>0</v>
      </c>
      <c r="S1481">
        <v>0.154</v>
      </c>
      <c r="T1481" t="s">
        <v>25</v>
      </c>
    </row>
    <row r="1482" spans="1:20" ht="15">
      <c r="A1482" t="s">
        <v>19</v>
      </c>
      <c r="B1482" t="s">
        <v>20</v>
      </c>
      <c r="C1482" t="str">
        <f t="shared" si="23"/>
        <v>31-Dec-21</v>
      </c>
      <c r="D1482" t="s">
        <v>21</v>
      </c>
      <c r="E1482" t="s">
        <v>22</v>
      </c>
      <c r="F1482" t="str">
        <f>"6105578"</f>
        <v>6105578</v>
      </c>
      <c r="G1482" t="s">
        <v>1525</v>
      </c>
      <c r="I1482" t="s">
        <v>1515</v>
      </c>
      <c r="J1482">
        <v>0.055097293</v>
      </c>
      <c r="K1482">
        <v>8068</v>
      </c>
      <c r="L1482">
        <v>1203293.72</v>
      </c>
      <c r="M1482">
        <v>73904.06</v>
      </c>
      <c r="N1482">
        <v>315.53</v>
      </c>
      <c r="O1482">
        <v>2545696.04</v>
      </c>
      <c r="P1482">
        <v>140260.96</v>
      </c>
      <c r="Q1482">
        <v>0</v>
      </c>
      <c r="R1482">
        <v>0</v>
      </c>
      <c r="S1482">
        <v>0.07</v>
      </c>
      <c r="T1482" t="s">
        <v>25</v>
      </c>
    </row>
    <row r="1483" spans="1:20" ht="15">
      <c r="A1483" t="s">
        <v>19</v>
      </c>
      <c r="B1483" t="s">
        <v>20</v>
      </c>
      <c r="C1483" t="str">
        <f t="shared" si="23"/>
        <v>31-Dec-21</v>
      </c>
      <c r="D1483" t="s">
        <v>21</v>
      </c>
      <c r="E1483" t="s">
        <v>22</v>
      </c>
      <c r="F1483" t="str">
        <f>"6622710"</f>
        <v>6622710</v>
      </c>
      <c r="G1483" t="s">
        <v>1526</v>
      </c>
      <c r="I1483" t="s">
        <v>1515</v>
      </c>
      <c r="J1483">
        <v>0.055097293</v>
      </c>
      <c r="K1483">
        <v>8024</v>
      </c>
      <c r="L1483">
        <v>656191.6</v>
      </c>
      <c r="M1483">
        <v>47581.85</v>
      </c>
      <c r="N1483">
        <v>52.54</v>
      </c>
      <c r="O1483">
        <v>421580.96</v>
      </c>
      <c r="P1483">
        <v>23227.97</v>
      </c>
      <c r="Q1483">
        <v>0</v>
      </c>
      <c r="R1483">
        <v>0</v>
      </c>
      <c r="S1483">
        <v>0.012</v>
      </c>
      <c r="T1483" t="s">
        <v>25</v>
      </c>
    </row>
    <row r="1484" spans="1:20" ht="15">
      <c r="A1484" t="s">
        <v>19</v>
      </c>
      <c r="B1484" t="s">
        <v>20</v>
      </c>
      <c r="C1484" t="str">
        <f t="shared" si="23"/>
        <v>31-Dec-21</v>
      </c>
      <c r="D1484" t="s">
        <v>21</v>
      </c>
      <c r="E1484" t="s">
        <v>22</v>
      </c>
      <c r="F1484" t="str">
        <f>"BYMPX12"</f>
        <v>BYMPX12</v>
      </c>
      <c r="G1484" t="s">
        <v>1527</v>
      </c>
      <c r="I1484" t="s">
        <v>1515</v>
      </c>
      <c r="J1484">
        <v>0.055097293</v>
      </c>
      <c r="K1484">
        <v>17528</v>
      </c>
      <c r="L1484">
        <v>510135.39</v>
      </c>
      <c r="M1484">
        <v>32201.01</v>
      </c>
      <c r="N1484">
        <v>35.42</v>
      </c>
      <c r="O1484">
        <v>620841.76</v>
      </c>
      <c r="P1484">
        <v>34206.7</v>
      </c>
      <c r="Q1484">
        <v>0</v>
      </c>
      <c r="R1484">
        <v>0</v>
      </c>
      <c r="S1484">
        <v>0.017</v>
      </c>
      <c r="T1484" t="s">
        <v>25</v>
      </c>
    </row>
    <row r="1485" spans="1:20" ht="15">
      <c r="A1485" t="s">
        <v>19</v>
      </c>
      <c r="B1485" t="s">
        <v>20</v>
      </c>
      <c r="C1485" t="str">
        <f t="shared" si="23"/>
        <v>31-Dec-21</v>
      </c>
      <c r="D1485" t="s">
        <v>21</v>
      </c>
      <c r="E1485" t="s">
        <v>22</v>
      </c>
      <c r="F1485" t="str">
        <f>"6177878"</f>
        <v>6177878</v>
      </c>
      <c r="G1485" t="s">
        <v>1528</v>
      </c>
      <c r="I1485" t="s">
        <v>1515</v>
      </c>
      <c r="J1485">
        <v>0.055097293</v>
      </c>
      <c r="K1485">
        <v>14660</v>
      </c>
      <c r="L1485">
        <v>1796620.05</v>
      </c>
      <c r="M1485">
        <v>114335.55</v>
      </c>
      <c r="N1485">
        <v>143.57</v>
      </c>
      <c r="O1485">
        <v>2104736.2</v>
      </c>
      <c r="P1485">
        <v>115965.27</v>
      </c>
      <c r="Q1485">
        <v>0</v>
      </c>
      <c r="R1485">
        <v>0</v>
      </c>
      <c r="S1485">
        <v>0.057</v>
      </c>
      <c r="T1485" t="s">
        <v>25</v>
      </c>
    </row>
    <row r="1486" spans="1:20" ht="15">
      <c r="A1486" t="s">
        <v>19</v>
      </c>
      <c r="B1486" t="s">
        <v>20</v>
      </c>
      <c r="C1486" t="str">
        <f t="shared" si="23"/>
        <v>31-Dec-21</v>
      </c>
      <c r="D1486" t="s">
        <v>21</v>
      </c>
      <c r="E1486" t="s">
        <v>22</v>
      </c>
      <c r="F1486" t="str">
        <f>"BF52H71"</f>
        <v>BF52H71</v>
      </c>
      <c r="G1486" t="s">
        <v>1529</v>
      </c>
      <c r="I1486" t="s">
        <v>1515</v>
      </c>
      <c r="J1486">
        <v>0.055097293</v>
      </c>
      <c r="K1486">
        <v>2974</v>
      </c>
      <c r="L1486">
        <v>392162.18</v>
      </c>
      <c r="M1486">
        <v>24035.65</v>
      </c>
      <c r="N1486">
        <v>168.8</v>
      </c>
      <c r="O1486">
        <v>502011.2</v>
      </c>
      <c r="P1486">
        <v>27659.46</v>
      </c>
      <c r="Q1486">
        <v>0</v>
      </c>
      <c r="R1486">
        <v>0</v>
      </c>
      <c r="S1486">
        <v>0.014</v>
      </c>
      <c r="T1486" t="s">
        <v>25</v>
      </c>
    </row>
    <row r="1487" spans="1:20" ht="15">
      <c r="A1487" t="s">
        <v>19</v>
      </c>
      <c r="B1487" t="s">
        <v>20</v>
      </c>
      <c r="C1487" t="str">
        <f t="shared" si="23"/>
        <v>31-Dec-21</v>
      </c>
      <c r="D1487" t="s">
        <v>21</v>
      </c>
      <c r="E1487" t="s">
        <v>22</v>
      </c>
      <c r="F1487" t="str">
        <f>"6418801"</f>
        <v>6418801</v>
      </c>
      <c r="G1487" t="s">
        <v>1530</v>
      </c>
      <c r="I1487" t="s">
        <v>1515</v>
      </c>
      <c r="J1487">
        <v>0.055097293</v>
      </c>
      <c r="K1487">
        <v>4324</v>
      </c>
      <c r="L1487">
        <v>568809.2</v>
      </c>
      <c r="M1487">
        <v>39427.87</v>
      </c>
      <c r="N1487">
        <v>152.87</v>
      </c>
      <c r="O1487">
        <v>661009.88</v>
      </c>
      <c r="P1487">
        <v>36419.86</v>
      </c>
      <c r="Q1487">
        <v>0</v>
      </c>
      <c r="R1487">
        <v>0</v>
      </c>
      <c r="S1487">
        <v>0.018</v>
      </c>
      <c r="T1487" t="s">
        <v>25</v>
      </c>
    </row>
    <row r="1488" spans="1:20" ht="15">
      <c r="A1488" t="s">
        <v>19</v>
      </c>
      <c r="B1488" t="s">
        <v>20</v>
      </c>
      <c r="C1488" t="str">
        <f t="shared" si="23"/>
        <v>31-Dec-21</v>
      </c>
      <c r="D1488" t="s">
        <v>21</v>
      </c>
      <c r="E1488" t="s">
        <v>22</v>
      </c>
      <c r="F1488" t="str">
        <f>"6606996"</f>
        <v>6606996</v>
      </c>
      <c r="G1488" t="s">
        <v>1531</v>
      </c>
      <c r="I1488" t="s">
        <v>1515</v>
      </c>
      <c r="J1488">
        <v>0.055097293</v>
      </c>
      <c r="K1488">
        <v>162054</v>
      </c>
      <c r="L1488">
        <v>8171030.28</v>
      </c>
      <c r="M1488">
        <v>524084.85</v>
      </c>
      <c r="N1488">
        <v>60.8</v>
      </c>
      <c r="O1488">
        <v>9852883.2</v>
      </c>
      <c r="P1488">
        <v>542867.19</v>
      </c>
      <c r="Q1488">
        <v>0</v>
      </c>
      <c r="R1488">
        <v>0</v>
      </c>
      <c r="S1488">
        <v>0.269</v>
      </c>
      <c r="T1488" t="s">
        <v>25</v>
      </c>
    </row>
    <row r="1489" spans="1:20" ht="15">
      <c r="A1489" t="s">
        <v>19</v>
      </c>
      <c r="B1489" t="s">
        <v>20</v>
      </c>
      <c r="C1489" t="str">
        <f t="shared" si="23"/>
        <v>31-Dec-21</v>
      </c>
      <c r="D1489" t="s">
        <v>21</v>
      </c>
      <c r="E1489" t="s">
        <v>22</v>
      </c>
      <c r="F1489" t="str">
        <f>"BD9FS46"</f>
        <v>BD9FS46</v>
      </c>
      <c r="G1489" t="s">
        <v>1532</v>
      </c>
      <c r="I1489" t="s">
        <v>1515</v>
      </c>
      <c r="J1489">
        <v>0.055097293</v>
      </c>
      <c r="K1489">
        <v>46623</v>
      </c>
      <c r="L1489">
        <v>678209.69</v>
      </c>
      <c r="M1489">
        <v>41910.96</v>
      </c>
      <c r="N1489">
        <v>12.5</v>
      </c>
      <c r="O1489">
        <v>582787.5</v>
      </c>
      <c r="P1489">
        <v>32110.01</v>
      </c>
      <c r="Q1489">
        <v>0</v>
      </c>
      <c r="R1489">
        <v>0</v>
      </c>
      <c r="S1489">
        <v>0.016</v>
      </c>
      <c r="T1489" t="s">
        <v>25</v>
      </c>
    </row>
    <row r="1490" spans="1:20" ht="15">
      <c r="A1490" t="s">
        <v>19</v>
      </c>
      <c r="B1490" t="s">
        <v>20</v>
      </c>
      <c r="C1490" t="str">
        <f t="shared" si="23"/>
        <v>31-Dec-21</v>
      </c>
      <c r="D1490" t="s">
        <v>21</v>
      </c>
      <c r="E1490" t="s">
        <v>22</v>
      </c>
      <c r="F1490" t="str">
        <f>"6349688"</f>
        <v>6349688</v>
      </c>
      <c r="G1490" t="s">
        <v>1533</v>
      </c>
      <c r="I1490" t="s">
        <v>1515</v>
      </c>
      <c r="J1490">
        <v>0.055097293</v>
      </c>
      <c r="K1490">
        <v>11908</v>
      </c>
      <c r="L1490">
        <v>1199805.04</v>
      </c>
      <c r="M1490">
        <v>69051.98</v>
      </c>
      <c r="N1490">
        <v>123.9</v>
      </c>
      <c r="O1490">
        <v>1475401.2</v>
      </c>
      <c r="P1490">
        <v>81290.61</v>
      </c>
      <c r="Q1490">
        <v>0</v>
      </c>
      <c r="R1490">
        <v>0</v>
      </c>
      <c r="S1490">
        <v>0.04</v>
      </c>
      <c r="T1490" t="s">
        <v>25</v>
      </c>
    </row>
    <row r="1491" spans="1:20" ht="15">
      <c r="A1491" t="s">
        <v>19</v>
      </c>
      <c r="B1491" t="s">
        <v>20</v>
      </c>
      <c r="C1491" t="str">
        <f t="shared" si="23"/>
        <v>31-Dec-21</v>
      </c>
      <c r="D1491" t="s">
        <v>21</v>
      </c>
      <c r="E1491" t="s">
        <v>22</v>
      </c>
      <c r="F1491" t="str">
        <f>"6280215"</f>
        <v>6280215</v>
      </c>
      <c r="G1491" t="s">
        <v>1534</v>
      </c>
      <c r="I1491" t="s">
        <v>1515</v>
      </c>
      <c r="J1491">
        <v>0.055097293</v>
      </c>
      <c r="K1491">
        <v>26987</v>
      </c>
      <c r="L1491">
        <v>2140757.26</v>
      </c>
      <c r="M1491">
        <v>129612.56</v>
      </c>
      <c r="N1491">
        <v>174.14</v>
      </c>
      <c r="O1491">
        <v>4699516.18</v>
      </c>
      <c r="P1491">
        <v>258930.62</v>
      </c>
      <c r="Q1491">
        <v>0</v>
      </c>
      <c r="R1491">
        <v>0</v>
      </c>
      <c r="S1491">
        <v>0.128</v>
      </c>
      <c r="T1491" t="s">
        <v>25</v>
      </c>
    </row>
    <row r="1492" spans="1:20" ht="15">
      <c r="A1492" t="s">
        <v>19</v>
      </c>
      <c r="B1492" t="s">
        <v>20</v>
      </c>
      <c r="C1492" t="str">
        <f t="shared" si="23"/>
        <v>31-Dec-21</v>
      </c>
      <c r="D1492" t="s">
        <v>21</v>
      </c>
      <c r="E1492" t="s">
        <v>22</v>
      </c>
      <c r="F1492" t="str">
        <f>"BBGB5W0"</f>
        <v>BBGB5W0</v>
      </c>
      <c r="G1492" t="s">
        <v>1535</v>
      </c>
      <c r="I1492" t="s">
        <v>1515</v>
      </c>
      <c r="J1492">
        <v>0.055097293</v>
      </c>
      <c r="K1492">
        <v>111405</v>
      </c>
      <c r="L1492">
        <v>2713479.04</v>
      </c>
      <c r="M1492">
        <v>183642.32</v>
      </c>
      <c r="N1492">
        <v>15.37</v>
      </c>
      <c r="O1492">
        <v>1712294.85</v>
      </c>
      <c r="P1492">
        <v>94342.81</v>
      </c>
      <c r="Q1492">
        <v>0</v>
      </c>
      <c r="R1492">
        <v>0</v>
      </c>
      <c r="S1492">
        <v>0.047</v>
      </c>
      <c r="T1492" t="s">
        <v>25</v>
      </c>
    </row>
    <row r="1493" spans="1:20" ht="15">
      <c r="A1493" t="s">
        <v>19</v>
      </c>
      <c r="B1493" t="s">
        <v>20</v>
      </c>
      <c r="C1493" t="str">
        <f t="shared" si="23"/>
        <v>31-Dec-21</v>
      </c>
      <c r="D1493" t="s">
        <v>21</v>
      </c>
      <c r="E1493" t="s">
        <v>22</v>
      </c>
      <c r="F1493" t="str">
        <f>"6410562"</f>
        <v>6410562</v>
      </c>
      <c r="G1493" t="s">
        <v>1536</v>
      </c>
      <c r="I1493" t="s">
        <v>1515</v>
      </c>
      <c r="J1493">
        <v>0.055097293</v>
      </c>
      <c r="K1493">
        <v>20339</v>
      </c>
      <c r="L1493">
        <v>743746.23</v>
      </c>
      <c r="M1493">
        <v>44361.6</v>
      </c>
      <c r="N1493">
        <v>66.6</v>
      </c>
      <c r="O1493">
        <v>1354577.4</v>
      </c>
      <c r="P1493">
        <v>74633.55</v>
      </c>
      <c r="Q1493">
        <v>0</v>
      </c>
      <c r="R1493">
        <v>0</v>
      </c>
      <c r="S1493">
        <v>0.037</v>
      </c>
      <c r="T1493" t="s">
        <v>25</v>
      </c>
    </row>
    <row r="1494" spans="1:20" ht="15">
      <c r="A1494" t="s">
        <v>19</v>
      </c>
      <c r="B1494" t="s">
        <v>20</v>
      </c>
      <c r="C1494" t="str">
        <f t="shared" si="23"/>
        <v>31-Dec-21</v>
      </c>
      <c r="D1494" t="s">
        <v>21</v>
      </c>
      <c r="E1494" t="s">
        <v>22</v>
      </c>
      <c r="F1494" t="str">
        <f>"B1FFT76"</f>
        <v>B1FFT76</v>
      </c>
      <c r="G1494" t="s">
        <v>1537</v>
      </c>
      <c r="I1494" t="s">
        <v>1515</v>
      </c>
      <c r="J1494">
        <v>0.055097293</v>
      </c>
      <c r="K1494">
        <v>26061</v>
      </c>
      <c r="L1494">
        <v>2259475.84</v>
      </c>
      <c r="M1494">
        <v>139609.54</v>
      </c>
      <c r="N1494">
        <v>225</v>
      </c>
      <c r="O1494">
        <v>5863725</v>
      </c>
      <c r="P1494">
        <v>323075.37</v>
      </c>
      <c r="Q1494">
        <v>0</v>
      </c>
      <c r="R1494">
        <v>0</v>
      </c>
      <c r="S1494">
        <v>0.16</v>
      </c>
      <c r="T1494" t="s">
        <v>25</v>
      </c>
    </row>
    <row r="1495" spans="1:20" ht="15">
      <c r="A1495" t="s">
        <v>19</v>
      </c>
      <c r="B1495" t="s">
        <v>20</v>
      </c>
      <c r="C1495" t="str">
        <f t="shared" si="23"/>
        <v>31-Dec-21</v>
      </c>
      <c r="D1495" t="s">
        <v>21</v>
      </c>
      <c r="E1495" t="s">
        <v>22</v>
      </c>
      <c r="F1495" t="str">
        <f>"B17BBR6"</f>
        <v>B17BBR6</v>
      </c>
      <c r="G1495" t="s">
        <v>1538</v>
      </c>
      <c r="I1495" t="s">
        <v>1515</v>
      </c>
      <c r="J1495">
        <v>0.055097293</v>
      </c>
      <c r="K1495">
        <v>10383</v>
      </c>
      <c r="L1495">
        <v>668770.97</v>
      </c>
      <c r="M1495">
        <v>45131.31</v>
      </c>
      <c r="N1495">
        <v>87.55</v>
      </c>
      <c r="O1495">
        <v>909031.65</v>
      </c>
      <c r="P1495">
        <v>50085.18</v>
      </c>
      <c r="Q1495">
        <v>0</v>
      </c>
      <c r="R1495">
        <v>0</v>
      </c>
      <c r="S1495">
        <v>0.025</v>
      </c>
      <c r="T1495" t="s">
        <v>25</v>
      </c>
    </row>
    <row r="1496" spans="1:20" ht="15">
      <c r="A1496" t="s">
        <v>19</v>
      </c>
      <c r="B1496" t="s">
        <v>20</v>
      </c>
      <c r="C1496" t="str">
        <f t="shared" si="23"/>
        <v>31-Dec-21</v>
      </c>
      <c r="D1496" t="s">
        <v>21</v>
      </c>
      <c r="E1496" t="s">
        <v>22</v>
      </c>
      <c r="F1496" t="str">
        <f>"B1G4262"</f>
        <v>B1G4262</v>
      </c>
      <c r="G1496" t="s">
        <v>1539</v>
      </c>
      <c r="I1496" t="s">
        <v>1515</v>
      </c>
      <c r="J1496">
        <v>0.055097293</v>
      </c>
      <c r="K1496">
        <v>1686</v>
      </c>
      <c r="L1496">
        <v>487773.45</v>
      </c>
      <c r="M1496">
        <v>30255.01</v>
      </c>
      <c r="N1496">
        <v>460.09</v>
      </c>
      <c r="O1496">
        <v>775711.74</v>
      </c>
      <c r="P1496">
        <v>42739.62</v>
      </c>
      <c r="Q1496">
        <v>0</v>
      </c>
      <c r="R1496">
        <v>0</v>
      </c>
      <c r="S1496">
        <v>0.021</v>
      </c>
      <c r="T1496" t="s">
        <v>25</v>
      </c>
    </row>
    <row r="1497" spans="1:20" ht="15">
      <c r="A1497" t="s">
        <v>19</v>
      </c>
      <c r="B1497" t="s">
        <v>20</v>
      </c>
      <c r="C1497" t="str">
        <f t="shared" si="23"/>
        <v>31-Dec-21</v>
      </c>
      <c r="D1497" t="s">
        <v>21</v>
      </c>
      <c r="E1497" t="s">
        <v>22</v>
      </c>
      <c r="F1497" t="str">
        <f>"B4K90R1"</f>
        <v>B4K90R1</v>
      </c>
      <c r="G1497" t="s">
        <v>1540</v>
      </c>
      <c r="I1497" t="s">
        <v>1515</v>
      </c>
      <c r="J1497">
        <v>0.055097293</v>
      </c>
      <c r="K1497">
        <v>50625</v>
      </c>
      <c r="L1497">
        <v>1543176.23</v>
      </c>
      <c r="M1497">
        <v>101832.35</v>
      </c>
      <c r="N1497">
        <v>24.03</v>
      </c>
      <c r="O1497">
        <v>1216518.75</v>
      </c>
      <c r="P1497">
        <v>67026.89</v>
      </c>
      <c r="Q1497">
        <v>0</v>
      </c>
      <c r="R1497">
        <v>0</v>
      </c>
      <c r="S1497">
        <v>0.033</v>
      </c>
      <c r="T1497" t="s">
        <v>25</v>
      </c>
    </row>
    <row r="1498" spans="1:20" ht="15">
      <c r="A1498" t="s">
        <v>19</v>
      </c>
      <c r="B1498" t="s">
        <v>20</v>
      </c>
      <c r="C1498" t="str">
        <f t="shared" si="23"/>
        <v>31-Dec-21</v>
      </c>
      <c r="D1498" t="s">
        <v>21</v>
      </c>
      <c r="E1498" t="s">
        <v>22</v>
      </c>
      <c r="F1498" t="str">
        <f>"6563206"</f>
        <v>6563206</v>
      </c>
      <c r="G1498" t="s">
        <v>1541</v>
      </c>
      <c r="I1498" t="s">
        <v>1515</v>
      </c>
      <c r="J1498">
        <v>0.055097293</v>
      </c>
      <c r="K1498">
        <v>56971</v>
      </c>
      <c r="L1498">
        <v>8414238.26</v>
      </c>
      <c r="M1498">
        <v>570377.44</v>
      </c>
      <c r="N1498">
        <v>170.71</v>
      </c>
      <c r="O1498">
        <v>9725519.41</v>
      </c>
      <c r="P1498">
        <v>535849.79</v>
      </c>
      <c r="Q1498">
        <v>0</v>
      </c>
      <c r="R1498">
        <v>0</v>
      </c>
      <c r="S1498">
        <v>0.266</v>
      </c>
      <c r="T1498" t="s">
        <v>25</v>
      </c>
    </row>
    <row r="1499" spans="1:20" ht="15">
      <c r="A1499" t="s">
        <v>19</v>
      </c>
      <c r="B1499" t="s">
        <v>20</v>
      </c>
      <c r="C1499" t="str">
        <f t="shared" si="23"/>
        <v>31-Dec-21</v>
      </c>
      <c r="D1499" t="s">
        <v>21</v>
      </c>
      <c r="E1499" t="s">
        <v>22</v>
      </c>
      <c r="F1499" t="str">
        <f>"BK9S758"</f>
        <v>BK9S758</v>
      </c>
      <c r="G1499" t="s">
        <v>1542</v>
      </c>
      <c r="I1499" t="s">
        <v>1515</v>
      </c>
      <c r="J1499">
        <v>0.055097293</v>
      </c>
      <c r="K1499">
        <v>32447</v>
      </c>
      <c r="L1499">
        <v>832295.43</v>
      </c>
      <c r="M1499">
        <v>59649.11</v>
      </c>
      <c r="N1499">
        <v>18.95</v>
      </c>
      <c r="O1499">
        <v>614870.65</v>
      </c>
      <c r="P1499">
        <v>33877.71</v>
      </c>
      <c r="Q1499">
        <v>0</v>
      </c>
      <c r="R1499">
        <v>0</v>
      </c>
      <c r="S1499">
        <v>0.017</v>
      </c>
      <c r="T1499" t="s">
        <v>25</v>
      </c>
    </row>
    <row r="1500" spans="1:20" ht="15">
      <c r="A1500" t="s">
        <v>19</v>
      </c>
      <c r="B1500" t="s">
        <v>20</v>
      </c>
      <c r="C1500" t="str">
        <f t="shared" si="23"/>
        <v>31-Dec-21</v>
      </c>
      <c r="D1500" t="s">
        <v>21</v>
      </c>
      <c r="E1500" t="s">
        <v>22</v>
      </c>
      <c r="F1500" t="str">
        <f>"BYXW419"</f>
        <v>BYXW419</v>
      </c>
      <c r="G1500" t="s">
        <v>1543</v>
      </c>
      <c r="I1500" t="s">
        <v>1515</v>
      </c>
      <c r="J1500">
        <v>0.055097293</v>
      </c>
      <c r="K1500">
        <v>6156</v>
      </c>
      <c r="L1500">
        <v>1099318.31</v>
      </c>
      <c r="M1500">
        <v>73370.3</v>
      </c>
      <c r="N1500">
        <v>199.5</v>
      </c>
      <c r="O1500">
        <v>1228122</v>
      </c>
      <c r="P1500">
        <v>67666.2</v>
      </c>
      <c r="Q1500">
        <v>0</v>
      </c>
      <c r="R1500">
        <v>0</v>
      </c>
      <c r="S1500">
        <v>0.034</v>
      </c>
      <c r="T1500" t="s">
        <v>25</v>
      </c>
    </row>
    <row r="1501" spans="1:20" ht="15">
      <c r="A1501" t="s">
        <v>19</v>
      </c>
      <c r="B1501" t="s">
        <v>20</v>
      </c>
      <c r="C1501" t="str">
        <f t="shared" si="23"/>
        <v>31-Dec-21</v>
      </c>
      <c r="D1501" t="s">
        <v>21</v>
      </c>
      <c r="E1501" t="s">
        <v>22</v>
      </c>
      <c r="F1501" t="str">
        <f>"BHZSKR4"</f>
        <v>BHZSKR4</v>
      </c>
      <c r="G1501" t="s">
        <v>1544</v>
      </c>
      <c r="I1501" t="s">
        <v>1515</v>
      </c>
      <c r="J1501">
        <v>0.055097293</v>
      </c>
      <c r="K1501">
        <v>14312</v>
      </c>
      <c r="L1501">
        <v>1004680.35</v>
      </c>
      <c r="M1501">
        <v>63168.32</v>
      </c>
      <c r="N1501">
        <v>122.03</v>
      </c>
      <c r="O1501">
        <v>1746493.36</v>
      </c>
      <c r="P1501">
        <v>96227.06</v>
      </c>
      <c r="Q1501">
        <v>0</v>
      </c>
      <c r="R1501">
        <v>0</v>
      </c>
      <c r="S1501">
        <v>0.048</v>
      </c>
      <c r="T1501" t="s">
        <v>25</v>
      </c>
    </row>
    <row r="1502" spans="1:20" ht="15">
      <c r="A1502" t="s">
        <v>19</v>
      </c>
      <c r="B1502" t="s">
        <v>20</v>
      </c>
      <c r="C1502" t="str">
        <f t="shared" si="23"/>
        <v>31-Dec-21</v>
      </c>
      <c r="D1502" t="s">
        <v>21</v>
      </c>
      <c r="E1502" t="s">
        <v>22</v>
      </c>
      <c r="F1502" t="str">
        <f>"BDD7WV3"</f>
        <v>BDD7WV3</v>
      </c>
      <c r="G1502" t="s">
        <v>1545</v>
      </c>
      <c r="I1502" t="s">
        <v>1515</v>
      </c>
      <c r="J1502">
        <v>0.055097293</v>
      </c>
      <c r="K1502">
        <v>11615</v>
      </c>
      <c r="L1502">
        <v>1764665.16</v>
      </c>
      <c r="M1502">
        <v>104599.39</v>
      </c>
      <c r="N1502">
        <v>106</v>
      </c>
      <c r="O1502">
        <v>1231190</v>
      </c>
      <c r="P1502">
        <v>67835.24</v>
      </c>
      <c r="Q1502">
        <v>0</v>
      </c>
      <c r="R1502">
        <v>0</v>
      </c>
      <c r="S1502">
        <v>0.034</v>
      </c>
      <c r="T1502" t="s">
        <v>25</v>
      </c>
    </row>
    <row r="1503" spans="1:20" ht="15">
      <c r="A1503" t="s">
        <v>19</v>
      </c>
      <c r="B1503" t="s">
        <v>20</v>
      </c>
      <c r="C1503" t="str">
        <f t="shared" si="23"/>
        <v>31-Dec-21</v>
      </c>
      <c r="D1503" t="s">
        <v>21</v>
      </c>
      <c r="E1503" t="s">
        <v>22</v>
      </c>
      <c r="F1503" t="str">
        <f>"6622691"</f>
        <v>6622691</v>
      </c>
      <c r="G1503" t="s">
        <v>1546</v>
      </c>
      <c r="I1503" t="s">
        <v>1515</v>
      </c>
      <c r="J1503">
        <v>0.055097293</v>
      </c>
      <c r="K1503">
        <v>6796</v>
      </c>
      <c r="L1503">
        <v>11653778.13</v>
      </c>
      <c r="M1503">
        <v>713976.84</v>
      </c>
      <c r="N1503">
        <v>2472</v>
      </c>
      <c r="O1503">
        <v>16799712</v>
      </c>
      <c r="P1503">
        <v>925618.65</v>
      </c>
      <c r="Q1503">
        <v>0</v>
      </c>
      <c r="R1503">
        <v>0</v>
      </c>
      <c r="S1503">
        <v>0.459</v>
      </c>
      <c r="T1503" t="s">
        <v>25</v>
      </c>
    </row>
    <row r="1504" spans="1:20" ht="15">
      <c r="A1504" t="s">
        <v>19</v>
      </c>
      <c r="B1504" t="s">
        <v>20</v>
      </c>
      <c r="C1504" t="str">
        <f t="shared" si="23"/>
        <v>31-Dec-21</v>
      </c>
      <c r="D1504" t="s">
        <v>21</v>
      </c>
      <c r="E1504" t="s">
        <v>22</v>
      </c>
      <c r="F1504" t="str">
        <f>"6628008"</f>
        <v>6628008</v>
      </c>
      <c r="G1504" t="s">
        <v>1547</v>
      </c>
      <c r="I1504" t="s">
        <v>1515</v>
      </c>
      <c r="J1504">
        <v>0.055097293</v>
      </c>
      <c r="K1504">
        <v>10167</v>
      </c>
      <c r="L1504">
        <v>2330820.12</v>
      </c>
      <c r="M1504">
        <v>149689.12</v>
      </c>
      <c r="N1504">
        <v>175.02</v>
      </c>
      <c r="O1504">
        <v>1779428.34</v>
      </c>
      <c r="P1504">
        <v>98041.68</v>
      </c>
      <c r="Q1504">
        <v>0</v>
      </c>
      <c r="R1504">
        <v>0</v>
      </c>
      <c r="S1504">
        <v>0.049</v>
      </c>
      <c r="T1504" t="s">
        <v>25</v>
      </c>
    </row>
    <row r="1505" spans="1:20" ht="15">
      <c r="A1505" t="s">
        <v>19</v>
      </c>
      <c r="B1505" t="s">
        <v>20</v>
      </c>
      <c r="C1505" t="str">
        <f t="shared" si="23"/>
        <v>31-Dec-21</v>
      </c>
      <c r="D1505" t="s">
        <v>21</v>
      </c>
      <c r="E1505" t="s">
        <v>22</v>
      </c>
      <c r="F1505" t="str">
        <f>"6636421"</f>
        <v>6636421</v>
      </c>
      <c r="G1505" t="s">
        <v>1548</v>
      </c>
      <c r="I1505" t="s">
        <v>1515</v>
      </c>
      <c r="J1505">
        <v>0.055097293</v>
      </c>
      <c r="K1505">
        <v>41451</v>
      </c>
      <c r="L1505">
        <v>1058646.59</v>
      </c>
      <c r="M1505">
        <v>70616.26</v>
      </c>
      <c r="N1505">
        <v>15.88</v>
      </c>
      <c r="O1505">
        <v>658241.88</v>
      </c>
      <c r="P1505">
        <v>36267.35</v>
      </c>
      <c r="Q1505">
        <v>0</v>
      </c>
      <c r="R1505">
        <v>0</v>
      </c>
      <c r="S1505">
        <v>0.018</v>
      </c>
      <c r="T1505" t="s">
        <v>25</v>
      </c>
    </row>
    <row r="1506" spans="1:20" ht="15">
      <c r="A1506" t="s">
        <v>19</v>
      </c>
      <c r="B1506" t="s">
        <v>20</v>
      </c>
      <c r="C1506" t="str">
        <f t="shared" si="23"/>
        <v>31-Dec-21</v>
      </c>
      <c r="D1506" t="s">
        <v>21</v>
      </c>
      <c r="E1506" t="s">
        <v>22</v>
      </c>
      <c r="F1506" t="str">
        <f>"BMZ1NS0"</f>
        <v>BMZ1NS0</v>
      </c>
      <c r="G1506" t="s">
        <v>1549</v>
      </c>
      <c r="I1506" t="s">
        <v>1515</v>
      </c>
      <c r="J1506">
        <v>0.055097293</v>
      </c>
      <c r="K1506">
        <v>11295</v>
      </c>
      <c r="L1506">
        <v>995672.83</v>
      </c>
      <c r="M1506">
        <v>61952.71</v>
      </c>
      <c r="N1506">
        <v>209.5</v>
      </c>
      <c r="O1506">
        <v>2366302.5</v>
      </c>
      <c r="P1506">
        <v>130376.86</v>
      </c>
      <c r="Q1506">
        <v>0</v>
      </c>
      <c r="R1506">
        <v>0</v>
      </c>
      <c r="S1506">
        <v>0.065</v>
      </c>
      <c r="T1506" t="s">
        <v>25</v>
      </c>
    </row>
    <row r="1507" spans="1:20" ht="15">
      <c r="A1507" t="s">
        <v>19</v>
      </c>
      <c r="B1507" t="s">
        <v>20</v>
      </c>
      <c r="C1507" t="str">
        <f t="shared" si="23"/>
        <v>31-Dec-21</v>
      </c>
      <c r="D1507" t="s">
        <v>21</v>
      </c>
      <c r="E1507" t="s">
        <v>22</v>
      </c>
      <c r="F1507" t="str">
        <f>"BDVPYN5"</f>
        <v>BDVPYN5</v>
      </c>
      <c r="G1507" t="s">
        <v>1550</v>
      </c>
      <c r="I1507" t="s">
        <v>1515</v>
      </c>
      <c r="J1507">
        <v>0.055097293</v>
      </c>
      <c r="K1507">
        <v>135349</v>
      </c>
      <c r="L1507">
        <v>2445691.76</v>
      </c>
      <c r="M1507">
        <v>153483.17</v>
      </c>
      <c r="N1507">
        <v>13.1</v>
      </c>
      <c r="O1507">
        <v>1773071.9</v>
      </c>
      <c r="P1507">
        <v>97691.46</v>
      </c>
      <c r="Q1507">
        <v>0</v>
      </c>
      <c r="R1507">
        <v>0</v>
      </c>
      <c r="S1507">
        <v>0.048</v>
      </c>
      <c r="T1507" t="s">
        <v>25</v>
      </c>
    </row>
    <row r="1508" spans="1:20" ht="15">
      <c r="A1508" t="s">
        <v>19</v>
      </c>
      <c r="B1508" t="s">
        <v>20</v>
      </c>
      <c r="C1508" t="str">
        <f t="shared" si="23"/>
        <v>31-Dec-21</v>
      </c>
      <c r="D1508" t="s">
        <v>21</v>
      </c>
      <c r="E1508" t="s">
        <v>22</v>
      </c>
      <c r="F1508" t="str">
        <f>"6613219"</f>
        <v>6613219</v>
      </c>
      <c r="G1508" t="s">
        <v>1551</v>
      </c>
      <c r="I1508" t="s">
        <v>1515</v>
      </c>
      <c r="J1508">
        <v>0.055097293</v>
      </c>
      <c r="K1508">
        <v>6068</v>
      </c>
      <c r="L1508">
        <v>284686.07</v>
      </c>
      <c r="M1508">
        <v>18411.55</v>
      </c>
      <c r="N1508">
        <v>89.24</v>
      </c>
      <c r="O1508">
        <v>541508.32</v>
      </c>
      <c r="P1508">
        <v>29835.64</v>
      </c>
      <c r="Q1508">
        <v>0</v>
      </c>
      <c r="R1508">
        <v>0</v>
      </c>
      <c r="S1508">
        <v>0.015</v>
      </c>
      <c r="T1508" t="s">
        <v>25</v>
      </c>
    </row>
    <row r="1509" spans="1:20" ht="15">
      <c r="A1509" t="s">
        <v>19</v>
      </c>
      <c r="B1509" t="s">
        <v>20</v>
      </c>
      <c r="C1509" t="str">
        <f t="shared" si="23"/>
        <v>31-Dec-21</v>
      </c>
      <c r="D1509" t="s">
        <v>21</v>
      </c>
      <c r="E1509" t="s">
        <v>22</v>
      </c>
      <c r="F1509" t="str">
        <f>"BFXG366"</f>
        <v>BFXG366</v>
      </c>
      <c r="G1509" t="s">
        <v>1552</v>
      </c>
      <c r="I1509" t="s">
        <v>1515</v>
      </c>
      <c r="J1509">
        <v>0.055097293</v>
      </c>
      <c r="K1509">
        <v>42376</v>
      </c>
      <c r="L1509">
        <v>695023.11</v>
      </c>
      <c r="M1509">
        <v>42319.33</v>
      </c>
      <c r="N1509">
        <v>21.89</v>
      </c>
      <c r="O1509">
        <v>927610.64</v>
      </c>
      <c r="P1509">
        <v>51108.84</v>
      </c>
      <c r="Q1509">
        <v>0</v>
      </c>
      <c r="R1509">
        <v>0</v>
      </c>
      <c r="S1509">
        <v>0.025</v>
      </c>
      <c r="T1509" t="s">
        <v>25</v>
      </c>
    </row>
    <row r="1510" spans="1:20" ht="15">
      <c r="A1510" t="s">
        <v>19</v>
      </c>
      <c r="B1510" t="s">
        <v>20</v>
      </c>
      <c r="C1510" t="str">
        <f t="shared" si="23"/>
        <v>31-Dec-21</v>
      </c>
      <c r="D1510" t="s">
        <v>21</v>
      </c>
      <c r="E1510" t="s">
        <v>22</v>
      </c>
      <c r="F1510" t="str">
        <f>"6688068"</f>
        <v>6688068</v>
      </c>
      <c r="G1510" t="s">
        <v>1553</v>
      </c>
      <c r="I1510" t="s">
        <v>1515</v>
      </c>
      <c r="J1510">
        <v>0.055097293</v>
      </c>
      <c r="K1510">
        <v>13804</v>
      </c>
      <c r="L1510">
        <v>928205.85</v>
      </c>
      <c r="M1510">
        <v>57620.27</v>
      </c>
      <c r="N1510">
        <v>52.47</v>
      </c>
      <c r="O1510">
        <v>724295.88</v>
      </c>
      <c r="P1510">
        <v>39906.74</v>
      </c>
      <c r="Q1510">
        <v>0</v>
      </c>
      <c r="R1510">
        <v>0</v>
      </c>
      <c r="S1510">
        <v>0.02</v>
      </c>
      <c r="T1510" t="s">
        <v>25</v>
      </c>
    </row>
    <row r="1511" spans="1:20" ht="15">
      <c r="A1511" t="s">
        <v>19</v>
      </c>
      <c r="B1511" t="s">
        <v>20</v>
      </c>
      <c r="C1511" t="str">
        <f t="shared" si="23"/>
        <v>31-Dec-21</v>
      </c>
      <c r="D1511" t="s">
        <v>21</v>
      </c>
      <c r="E1511" t="s">
        <v>22</v>
      </c>
      <c r="F1511" t="str">
        <f>"BYX3N48"</f>
        <v>BYX3N48</v>
      </c>
      <c r="G1511" t="s">
        <v>1554</v>
      </c>
      <c r="I1511" t="s">
        <v>1515</v>
      </c>
      <c r="J1511">
        <v>0.055097293</v>
      </c>
      <c r="K1511">
        <v>29520</v>
      </c>
      <c r="L1511">
        <v>1230807.39</v>
      </c>
      <c r="M1511">
        <v>86846.63</v>
      </c>
      <c r="N1511">
        <v>45.17</v>
      </c>
      <c r="O1511">
        <v>1333418.4</v>
      </c>
      <c r="P1511">
        <v>73467.74</v>
      </c>
      <c r="Q1511">
        <v>0</v>
      </c>
      <c r="R1511">
        <v>0</v>
      </c>
      <c r="S1511">
        <v>0.036</v>
      </c>
      <c r="T1511" t="s">
        <v>25</v>
      </c>
    </row>
    <row r="1512" spans="1:20" ht="15">
      <c r="A1512" t="s">
        <v>19</v>
      </c>
      <c r="B1512" t="s">
        <v>20</v>
      </c>
      <c r="C1512" t="str">
        <f t="shared" si="23"/>
        <v>31-Dec-21</v>
      </c>
      <c r="D1512" t="s">
        <v>21</v>
      </c>
      <c r="E1512" t="s">
        <v>22</v>
      </c>
      <c r="F1512" t="str">
        <f>"BMP3858"</f>
        <v>BMP3858</v>
      </c>
      <c r="G1512" t="s">
        <v>1555</v>
      </c>
      <c r="I1512" t="s">
        <v>1515</v>
      </c>
      <c r="J1512">
        <v>0.055097293</v>
      </c>
      <c r="K1512">
        <v>205808</v>
      </c>
      <c r="L1512">
        <v>2208493.38</v>
      </c>
      <c r="M1512">
        <v>151979.89</v>
      </c>
      <c r="N1512">
        <v>4.4</v>
      </c>
      <c r="O1512">
        <v>905555.2</v>
      </c>
      <c r="P1512">
        <v>49893.64</v>
      </c>
      <c r="Q1512">
        <v>0</v>
      </c>
      <c r="R1512">
        <v>0</v>
      </c>
      <c r="S1512">
        <v>0.025</v>
      </c>
      <c r="T1512" t="s">
        <v>25</v>
      </c>
    </row>
    <row r="1513" spans="1:20" ht="15">
      <c r="A1513" t="s">
        <v>19</v>
      </c>
      <c r="B1513" t="s">
        <v>20</v>
      </c>
      <c r="C1513" t="str">
        <f t="shared" si="23"/>
        <v>31-Dec-21</v>
      </c>
      <c r="D1513" t="s">
        <v>21</v>
      </c>
      <c r="E1513" t="s">
        <v>22</v>
      </c>
      <c r="F1513" t="str">
        <f>"BF52QF2"</f>
        <v>BF52QF2</v>
      </c>
      <c r="G1513" t="s">
        <v>1556</v>
      </c>
      <c r="I1513" t="s">
        <v>1515</v>
      </c>
      <c r="J1513">
        <v>0.055097293</v>
      </c>
      <c r="K1513">
        <v>4029</v>
      </c>
      <c r="L1513">
        <v>1210167.35</v>
      </c>
      <c r="M1513">
        <v>62712.75</v>
      </c>
      <c r="N1513">
        <v>286.03</v>
      </c>
      <c r="O1513">
        <v>1152414.87</v>
      </c>
      <c r="P1513">
        <v>63494.94</v>
      </c>
      <c r="Q1513">
        <v>0</v>
      </c>
      <c r="R1513">
        <v>0</v>
      </c>
      <c r="S1513">
        <v>0.031</v>
      </c>
      <c r="T1513" t="s">
        <v>25</v>
      </c>
    </row>
    <row r="1514" spans="1:20" ht="15">
      <c r="A1514" t="s">
        <v>19</v>
      </c>
      <c r="B1514" t="s">
        <v>20</v>
      </c>
      <c r="C1514" t="str">
        <f t="shared" si="23"/>
        <v>31-Dec-21</v>
      </c>
      <c r="D1514" t="s">
        <v>21</v>
      </c>
      <c r="E1514" t="s">
        <v>22</v>
      </c>
      <c r="F1514" t="str">
        <f>"6290689"</f>
        <v>6290689</v>
      </c>
      <c r="G1514" t="s">
        <v>1557</v>
      </c>
      <c r="I1514" t="s">
        <v>1515</v>
      </c>
      <c r="J1514">
        <v>0.055097293</v>
      </c>
      <c r="K1514">
        <v>17012</v>
      </c>
      <c r="L1514">
        <v>2604955.58</v>
      </c>
      <c r="M1514">
        <v>174639.96</v>
      </c>
      <c r="N1514">
        <v>131.15</v>
      </c>
      <c r="O1514">
        <v>2231123.8</v>
      </c>
      <c r="P1514">
        <v>122928.88</v>
      </c>
      <c r="Q1514">
        <v>0</v>
      </c>
      <c r="R1514">
        <v>0</v>
      </c>
      <c r="S1514">
        <v>0.061</v>
      </c>
      <c r="T1514" t="s">
        <v>25</v>
      </c>
    </row>
    <row r="1515" spans="1:20" ht="15">
      <c r="A1515" t="s">
        <v>19</v>
      </c>
      <c r="B1515" t="s">
        <v>20</v>
      </c>
      <c r="C1515" t="str">
        <f t="shared" si="23"/>
        <v>31-Dec-21</v>
      </c>
      <c r="D1515" t="s">
        <v>21</v>
      </c>
      <c r="E1515" t="s">
        <v>22</v>
      </c>
      <c r="F1515" t="str">
        <f>"BZ1MVY0"</f>
        <v>BZ1MVY0</v>
      </c>
      <c r="G1515" t="s">
        <v>1558</v>
      </c>
      <c r="I1515" t="s">
        <v>1515</v>
      </c>
      <c r="J1515">
        <v>0.055097293</v>
      </c>
      <c r="K1515">
        <v>13987</v>
      </c>
      <c r="L1515">
        <v>1368193.14</v>
      </c>
      <c r="M1515">
        <v>90916.81</v>
      </c>
      <c r="N1515">
        <v>59.75</v>
      </c>
      <c r="O1515">
        <v>835723.25</v>
      </c>
      <c r="P1515">
        <v>46046.09</v>
      </c>
      <c r="Q1515">
        <v>0</v>
      </c>
      <c r="R1515">
        <v>0</v>
      </c>
      <c r="S1515">
        <v>0.023</v>
      </c>
      <c r="T1515" t="s">
        <v>25</v>
      </c>
    </row>
    <row r="1516" spans="1:20" ht="15">
      <c r="A1516" t="s">
        <v>19</v>
      </c>
      <c r="B1516" t="s">
        <v>20</v>
      </c>
      <c r="C1516" t="str">
        <f t="shared" si="23"/>
        <v>31-Dec-21</v>
      </c>
      <c r="D1516" t="s">
        <v>21</v>
      </c>
      <c r="E1516" t="s">
        <v>22</v>
      </c>
      <c r="F1516" t="str">
        <f>"B59KXT5"</f>
        <v>B59KXT5</v>
      </c>
      <c r="G1516" t="s">
        <v>1559</v>
      </c>
      <c r="I1516" t="s">
        <v>1515</v>
      </c>
      <c r="J1516">
        <v>0.055097293</v>
      </c>
      <c r="K1516">
        <v>3927</v>
      </c>
      <c r="L1516">
        <v>508614.8</v>
      </c>
      <c r="M1516">
        <v>28659.27</v>
      </c>
      <c r="N1516">
        <v>156.32</v>
      </c>
      <c r="O1516">
        <v>613868.64</v>
      </c>
      <c r="P1516">
        <v>33822.5</v>
      </c>
      <c r="Q1516">
        <v>0</v>
      </c>
      <c r="R1516">
        <v>0</v>
      </c>
      <c r="S1516">
        <v>0.017</v>
      </c>
      <c r="T1516" t="s">
        <v>25</v>
      </c>
    </row>
    <row r="1517" spans="1:20" ht="15">
      <c r="A1517" t="s">
        <v>19</v>
      </c>
      <c r="B1517" t="s">
        <v>20</v>
      </c>
      <c r="C1517" t="str">
        <f t="shared" si="23"/>
        <v>31-Dec-21</v>
      </c>
      <c r="D1517" t="s">
        <v>21</v>
      </c>
      <c r="E1517" t="s">
        <v>22</v>
      </c>
      <c r="F1517" t="str">
        <f>"B038WK4"</f>
        <v>B038WK4</v>
      </c>
      <c r="G1517" t="s">
        <v>1560</v>
      </c>
      <c r="I1517" t="s">
        <v>1515</v>
      </c>
      <c r="J1517">
        <v>0.055097293</v>
      </c>
      <c r="K1517">
        <v>7153</v>
      </c>
      <c r="L1517">
        <v>1237134.14</v>
      </c>
      <c r="M1517">
        <v>81575.55</v>
      </c>
      <c r="N1517">
        <v>167.12</v>
      </c>
      <c r="O1517">
        <v>1195409.36</v>
      </c>
      <c r="P1517">
        <v>65863.82</v>
      </c>
      <c r="Q1517">
        <v>0</v>
      </c>
      <c r="R1517">
        <v>0</v>
      </c>
      <c r="S1517">
        <v>0.033</v>
      </c>
      <c r="T1517" t="s">
        <v>25</v>
      </c>
    </row>
    <row r="1518" spans="1:20" ht="15">
      <c r="A1518" t="s">
        <v>19</v>
      </c>
      <c r="B1518" t="s">
        <v>20</v>
      </c>
      <c r="C1518" t="str">
        <f t="shared" si="23"/>
        <v>31-Dec-21</v>
      </c>
      <c r="D1518" t="s">
        <v>21</v>
      </c>
      <c r="E1518" t="s">
        <v>22</v>
      </c>
      <c r="F1518" t="str">
        <f>"B0L6750"</f>
        <v>B0L6750</v>
      </c>
      <c r="G1518" t="s">
        <v>1561</v>
      </c>
      <c r="I1518" t="s">
        <v>1515</v>
      </c>
      <c r="J1518">
        <v>0.055097293</v>
      </c>
      <c r="K1518">
        <v>56648</v>
      </c>
      <c r="L1518">
        <v>3726923.7</v>
      </c>
      <c r="M1518">
        <v>249142.48</v>
      </c>
      <c r="N1518">
        <v>59.36</v>
      </c>
      <c r="O1518">
        <v>3362625.28</v>
      </c>
      <c r="P1518">
        <v>185271.55</v>
      </c>
      <c r="Q1518">
        <v>0</v>
      </c>
      <c r="R1518">
        <v>0</v>
      </c>
      <c r="S1518">
        <v>0.092</v>
      </c>
      <c r="T1518" t="s">
        <v>25</v>
      </c>
    </row>
    <row r="1519" spans="1:20" ht="15">
      <c r="A1519" t="s">
        <v>19</v>
      </c>
      <c r="B1519" t="s">
        <v>20</v>
      </c>
      <c r="C1519" t="str">
        <f t="shared" si="23"/>
        <v>31-Dec-21</v>
      </c>
      <c r="D1519" t="s">
        <v>21</v>
      </c>
      <c r="E1519" t="s">
        <v>22</v>
      </c>
      <c r="F1519" t="str">
        <f>"6777007"</f>
        <v>6777007</v>
      </c>
      <c r="G1519" t="s">
        <v>1562</v>
      </c>
      <c r="I1519" t="s">
        <v>1515</v>
      </c>
      <c r="J1519">
        <v>0.055097293</v>
      </c>
      <c r="K1519">
        <v>22231</v>
      </c>
      <c r="L1519">
        <v>1130229.45</v>
      </c>
      <c r="M1519">
        <v>70885.37</v>
      </c>
      <c r="N1519">
        <v>45.66</v>
      </c>
      <c r="O1519">
        <v>1015067.46</v>
      </c>
      <c r="P1519">
        <v>55927.47</v>
      </c>
      <c r="Q1519">
        <v>0</v>
      </c>
      <c r="R1519">
        <v>0</v>
      </c>
      <c r="S1519">
        <v>0.028</v>
      </c>
      <c r="T1519" t="s">
        <v>25</v>
      </c>
    </row>
    <row r="1520" spans="1:20" ht="15">
      <c r="A1520" t="s">
        <v>19</v>
      </c>
      <c r="B1520" t="s">
        <v>20</v>
      </c>
      <c r="C1520" t="str">
        <f t="shared" si="23"/>
        <v>31-Dec-21</v>
      </c>
      <c r="D1520" t="s">
        <v>21</v>
      </c>
      <c r="E1520" t="s">
        <v>22</v>
      </c>
      <c r="F1520" t="str">
        <f>"6777450"</f>
        <v>6777450</v>
      </c>
      <c r="G1520" t="s">
        <v>1563</v>
      </c>
      <c r="I1520" t="s">
        <v>1515</v>
      </c>
      <c r="J1520">
        <v>0.055097293</v>
      </c>
      <c r="K1520">
        <v>18581</v>
      </c>
      <c r="L1520">
        <v>8214284.77</v>
      </c>
      <c r="M1520">
        <v>547326.83</v>
      </c>
      <c r="N1520">
        <v>259</v>
      </c>
      <c r="O1520">
        <v>4812479</v>
      </c>
      <c r="P1520">
        <v>265154.57</v>
      </c>
      <c r="Q1520">
        <v>0</v>
      </c>
      <c r="R1520">
        <v>0</v>
      </c>
      <c r="S1520">
        <v>0.131</v>
      </c>
      <c r="T1520" t="s">
        <v>25</v>
      </c>
    </row>
    <row r="1521" spans="1:20" ht="15">
      <c r="A1521" t="s">
        <v>19</v>
      </c>
      <c r="B1521" t="s">
        <v>20</v>
      </c>
      <c r="C1521" t="str">
        <f t="shared" si="23"/>
        <v>31-Dec-21</v>
      </c>
      <c r="D1521" t="s">
        <v>21</v>
      </c>
      <c r="E1521" t="s">
        <v>22</v>
      </c>
      <c r="F1521" t="str">
        <f>"6801575"</f>
        <v>6801575</v>
      </c>
      <c r="G1521" t="s">
        <v>1564</v>
      </c>
      <c r="I1521" t="s">
        <v>1515</v>
      </c>
      <c r="J1521">
        <v>0.055097293</v>
      </c>
      <c r="K1521">
        <v>17019</v>
      </c>
      <c r="L1521">
        <v>2821761.12</v>
      </c>
      <c r="M1521">
        <v>186131.97</v>
      </c>
      <c r="N1521">
        <v>208.88</v>
      </c>
      <c r="O1521">
        <v>3554928.72</v>
      </c>
      <c r="P1521">
        <v>195866.95</v>
      </c>
      <c r="Q1521">
        <v>0</v>
      </c>
      <c r="R1521">
        <v>0</v>
      </c>
      <c r="S1521">
        <v>0.097</v>
      </c>
      <c r="T1521" t="s">
        <v>25</v>
      </c>
    </row>
    <row r="1522" spans="1:20" ht="15">
      <c r="A1522" t="s">
        <v>19</v>
      </c>
      <c r="B1522" t="s">
        <v>20</v>
      </c>
      <c r="C1522" t="str">
        <f t="shared" si="23"/>
        <v>31-Dec-21</v>
      </c>
      <c r="D1522" t="s">
        <v>21</v>
      </c>
      <c r="E1522" t="s">
        <v>22</v>
      </c>
      <c r="F1522" t="str">
        <f>"BL0L913"</f>
        <v>BL0L913</v>
      </c>
      <c r="G1522" t="s">
        <v>1565</v>
      </c>
      <c r="I1522" t="s">
        <v>1515</v>
      </c>
      <c r="J1522">
        <v>0.055097293</v>
      </c>
      <c r="K1522">
        <v>79866</v>
      </c>
      <c r="L1522">
        <v>2657700.89</v>
      </c>
      <c r="M1522">
        <v>157161.11</v>
      </c>
      <c r="N1522">
        <v>49.1</v>
      </c>
      <c r="O1522">
        <v>3921420.6</v>
      </c>
      <c r="P1522">
        <v>216059.66</v>
      </c>
      <c r="Q1522">
        <v>0</v>
      </c>
      <c r="R1522">
        <v>0</v>
      </c>
      <c r="S1522">
        <v>0.107</v>
      </c>
      <c r="T1522" t="s">
        <v>25</v>
      </c>
    </row>
    <row r="1523" spans="1:20" ht="15">
      <c r="A1523" t="s">
        <v>19</v>
      </c>
      <c r="B1523" t="s">
        <v>20</v>
      </c>
      <c r="C1523" t="str">
        <f t="shared" si="23"/>
        <v>31-Dec-21</v>
      </c>
      <c r="D1523" t="s">
        <v>21</v>
      </c>
      <c r="E1523" t="s">
        <v>22</v>
      </c>
      <c r="F1523" t="str">
        <f>"B030GJ7"</f>
        <v>B030GJ7</v>
      </c>
      <c r="G1523" t="s">
        <v>1566</v>
      </c>
      <c r="I1523" t="s">
        <v>1515</v>
      </c>
      <c r="J1523">
        <v>0.055097293</v>
      </c>
      <c r="K1523">
        <v>41885</v>
      </c>
      <c r="L1523">
        <v>6156951.82</v>
      </c>
      <c r="M1523">
        <v>397600.68</v>
      </c>
      <c r="N1523">
        <v>140.01</v>
      </c>
      <c r="O1523">
        <v>5864318.85</v>
      </c>
      <c r="P1523">
        <v>323108.09</v>
      </c>
      <c r="Q1523">
        <v>0</v>
      </c>
      <c r="R1523">
        <v>0</v>
      </c>
      <c r="S1523">
        <v>0.16</v>
      </c>
      <c r="T1523" t="s">
        <v>25</v>
      </c>
    </row>
    <row r="1524" spans="1:20" ht="15">
      <c r="A1524" t="s">
        <v>19</v>
      </c>
      <c r="B1524" t="s">
        <v>20</v>
      </c>
      <c r="C1524" t="str">
        <f t="shared" si="23"/>
        <v>31-Dec-21</v>
      </c>
      <c r="D1524" t="s">
        <v>21</v>
      </c>
      <c r="E1524" t="s">
        <v>22</v>
      </c>
      <c r="F1524" t="str">
        <f>"6588577"</f>
        <v>6588577</v>
      </c>
      <c r="G1524" t="s">
        <v>1567</v>
      </c>
      <c r="I1524" t="s">
        <v>1515</v>
      </c>
      <c r="J1524">
        <v>0.055097293</v>
      </c>
      <c r="K1524">
        <v>9979</v>
      </c>
      <c r="L1524">
        <v>549999.2</v>
      </c>
      <c r="M1524">
        <v>40254.7</v>
      </c>
      <c r="N1524">
        <v>54.08</v>
      </c>
      <c r="O1524">
        <v>539664.32</v>
      </c>
      <c r="P1524">
        <v>29734.04</v>
      </c>
      <c r="Q1524">
        <v>0</v>
      </c>
      <c r="R1524">
        <v>0</v>
      </c>
      <c r="S1524">
        <v>0.015</v>
      </c>
      <c r="T1524" t="s">
        <v>25</v>
      </c>
    </row>
    <row r="1525" spans="1:20" ht="15">
      <c r="A1525" t="s">
        <v>19</v>
      </c>
      <c r="B1525" t="s">
        <v>20</v>
      </c>
      <c r="C1525" t="str">
        <f t="shared" si="23"/>
        <v>31-Dec-21</v>
      </c>
      <c r="D1525" t="s">
        <v>21</v>
      </c>
      <c r="E1525" t="s">
        <v>22</v>
      </c>
      <c r="F1525" t="str">
        <f>"B0J4PP2"</f>
        <v>B0J4PP2</v>
      </c>
      <c r="G1525" t="s">
        <v>1568</v>
      </c>
      <c r="I1525" t="s">
        <v>1515</v>
      </c>
      <c r="J1525">
        <v>0.055097293</v>
      </c>
      <c r="K1525">
        <v>4568</v>
      </c>
      <c r="L1525">
        <v>1268404.08</v>
      </c>
      <c r="M1525">
        <v>86300.84</v>
      </c>
      <c r="N1525">
        <v>181</v>
      </c>
      <c r="O1525">
        <v>826808</v>
      </c>
      <c r="P1525">
        <v>45554.88</v>
      </c>
      <c r="Q1525">
        <v>0</v>
      </c>
      <c r="R1525">
        <v>0</v>
      </c>
      <c r="S1525">
        <v>0.023</v>
      </c>
      <c r="T1525" t="s">
        <v>25</v>
      </c>
    </row>
    <row r="1526" spans="1:20" ht="15">
      <c r="A1526" t="s">
        <v>19</v>
      </c>
      <c r="B1526" t="s">
        <v>20</v>
      </c>
      <c r="C1526" t="str">
        <f t="shared" si="23"/>
        <v>31-Dec-21</v>
      </c>
      <c r="D1526" t="s">
        <v>21</v>
      </c>
      <c r="E1526" t="s">
        <v>22</v>
      </c>
      <c r="F1526" t="str">
        <f>"6113485"</f>
        <v>6113485</v>
      </c>
      <c r="G1526" t="s">
        <v>1569</v>
      </c>
      <c r="I1526" t="s">
        <v>1515</v>
      </c>
      <c r="J1526">
        <v>0.055097293</v>
      </c>
      <c r="K1526">
        <v>19363</v>
      </c>
      <c r="L1526">
        <v>1384306.21</v>
      </c>
      <c r="M1526">
        <v>88490.27</v>
      </c>
      <c r="N1526">
        <v>52.25</v>
      </c>
      <c r="O1526">
        <v>1011716.75</v>
      </c>
      <c r="P1526">
        <v>55742.85</v>
      </c>
      <c r="Q1526">
        <v>0</v>
      </c>
      <c r="R1526">
        <v>0</v>
      </c>
      <c r="S1526">
        <v>0.028</v>
      </c>
      <c r="T1526" t="s">
        <v>25</v>
      </c>
    </row>
    <row r="1527" spans="1:20" ht="15">
      <c r="A1527" t="s">
        <v>19</v>
      </c>
      <c r="B1527" t="s">
        <v>20</v>
      </c>
      <c r="C1527" t="str">
        <f t="shared" si="23"/>
        <v>31-Dec-21</v>
      </c>
      <c r="D1527" t="s">
        <v>21</v>
      </c>
      <c r="E1527" t="s">
        <v>22</v>
      </c>
      <c r="F1527" t="str">
        <f>"B65B4D0"</f>
        <v>B65B4D0</v>
      </c>
      <c r="G1527" t="s">
        <v>1570</v>
      </c>
      <c r="I1527" t="s">
        <v>1515</v>
      </c>
      <c r="J1527">
        <v>0.055097293</v>
      </c>
      <c r="K1527">
        <v>18627</v>
      </c>
      <c r="L1527">
        <v>2507905.74</v>
      </c>
      <c r="M1527">
        <v>162040.6</v>
      </c>
      <c r="N1527">
        <v>134.62</v>
      </c>
      <c r="O1527">
        <v>2507566.74</v>
      </c>
      <c r="P1527">
        <v>138160.14</v>
      </c>
      <c r="Q1527">
        <v>0</v>
      </c>
      <c r="R1527">
        <v>0</v>
      </c>
      <c r="S1527">
        <v>0.068</v>
      </c>
      <c r="T1527" t="s">
        <v>25</v>
      </c>
    </row>
    <row r="1528" spans="1:20" ht="15">
      <c r="A1528" t="s">
        <v>19</v>
      </c>
      <c r="B1528" t="s">
        <v>20</v>
      </c>
      <c r="C1528" t="str">
        <f t="shared" si="23"/>
        <v>31-Dec-21</v>
      </c>
      <c r="D1528" t="s">
        <v>21</v>
      </c>
      <c r="E1528" t="s">
        <v>22</v>
      </c>
      <c r="F1528" t="str">
        <f>"B06KZ97"</f>
        <v>B06KZ97</v>
      </c>
      <c r="G1528" t="s">
        <v>1571</v>
      </c>
      <c r="I1528" t="s">
        <v>1515</v>
      </c>
      <c r="J1528">
        <v>0.055097293</v>
      </c>
      <c r="K1528">
        <v>28267</v>
      </c>
      <c r="L1528">
        <v>1915257.68</v>
      </c>
      <c r="M1528">
        <v>126498.17</v>
      </c>
      <c r="N1528">
        <v>51.86</v>
      </c>
      <c r="O1528">
        <v>1465926.62</v>
      </c>
      <c r="P1528">
        <v>80768.59</v>
      </c>
      <c r="Q1528">
        <v>0</v>
      </c>
      <c r="R1528">
        <v>0</v>
      </c>
      <c r="S1528">
        <v>0.04</v>
      </c>
      <c r="T1528" t="s">
        <v>25</v>
      </c>
    </row>
    <row r="1529" spans="1:20" ht="15">
      <c r="A1529" t="s">
        <v>19</v>
      </c>
      <c r="B1529" t="s">
        <v>20</v>
      </c>
      <c r="C1529" t="str">
        <f t="shared" si="23"/>
        <v>31-Dec-21</v>
      </c>
      <c r="D1529" t="s">
        <v>21</v>
      </c>
      <c r="E1529" t="s">
        <v>39</v>
      </c>
      <c r="I1529" t="s">
        <v>1515</v>
      </c>
      <c r="J1529">
        <v>0.055097293</v>
      </c>
      <c r="K1529">
        <v>0</v>
      </c>
      <c r="L1529">
        <v>419594.64</v>
      </c>
      <c r="M1529">
        <v>23110.36</v>
      </c>
      <c r="N1529">
        <v>0</v>
      </c>
      <c r="O1529">
        <v>419594.64</v>
      </c>
      <c r="P1529">
        <v>23118.53</v>
      </c>
      <c r="Q1529">
        <v>0</v>
      </c>
      <c r="R1529">
        <v>0</v>
      </c>
      <c r="S1529">
        <v>0.011</v>
      </c>
      <c r="T1529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B, Naga Warshini</cp:lastModifiedBy>
  <dcterms:created xsi:type="dcterms:W3CDTF">2022-01-05T12:16:13Z</dcterms:created>
  <dcterms:modified xsi:type="dcterms:W3CDTF">2022-01-05T12:16:13Z</dcterms:modified>
  <cp:category/>
  <cp:version/>
  <cp:contentType/>
  <cp:contentStatus/>
</cp:coreProperties>
</file>