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55" activeTab="0"/>
  </bookViews>
  <sheets>
    <sheet name="Monthly Holdings - SSgA Europe " sheetId="1" r:id="rId1"/>
  </sheets>
  <definedNames/>
  <calcPr fullCalcOnLoad="1"/>
</workbook>
</file>

<file path=xl/sharedStrings.xml><?xml version="1.0" encoding="utf-8"?>
<sst xmlns="http://schemas.openxmlformats.org/spreadsheetml/2006/main" count="3339" uniqueCount="496">
  <si>
    <t>Portfolio Abbreviation</t>
  </si>
  <si>
    <t>Portfolio Long Name</t>
  </si>
  <si>
    <t>Date To</t>
  </si>
  <si>
    <t>Base Currency</t>
  </si>
  <si>
    <t>Major Issue Description</t>
  </si>
  <si>
    <t>Security ID</t>
  </si>
  <si>
    <t>Security Description</t>
  </si>
  <si>
    <t>Issue Level Classification</t>
  </si>
  <si>
    <t>Local Currency</t>
  </si>
  <si>
    <t>Fx Rate</t>
  </si>
  <si>
    <t>Quantity Held</t>
  </si>
  <si>
    <t>Book Cost Local</t>
  </si>
  <si>
    <t>Book Cost Base</t>
  </si>
  <si>
    <t>Market Price Local</t>
  </si>
  <si>
    <t>Market Value Local</t>
  </si>
  <si>
    <t>Market Value Base</t>
  </si>
  <si>
    <t>Accrued Income Local</t>
  </si>
  <si>
    <t>Accrued Income Base</t>
  </si>
  <si>
    <t xml:space="preserve">% Holding  </t>
  </si>
  <si>
    <t xml:space="preserve">2CWD           </t>
  </si>
  <si>
    <t>State Street AUT Europe ex UK Screened (ex Controv</t>
  </si>
  <si>
    <t>GBP</t>
  </si>
  <si>
    <t>Equity</t>
  </si>
  <si>
    <t xml:space="preserve">ABB Ltd Ordinary CHF 0.12 </t>
  </si>
  <si>
    <t>CHF</t>
  </si>
  <si>
    <t xml:space="preserve">   </t>
  </si>
  <si>
    <t xml:space="preserve">Adecco Group AG Ordinary CHF 0.1 </t>
  </si>
  <si>
    <t xml:space="preserve">Alcon Inc Ordinary CHF 0.04 </t>
  </si>
  <si>
    <t xml:space="preserve">BKW AG Ordinary CHF 2.5 </t>
  </si>
  <si>
    <t xml:space="preserve">Baloise Holding AG Ordinary CHF 0.1 </t>
  </si>
  <si>
    <t xml:space="preserve">Banque Cantonale Vaudoise Ordinary CHF 10.0 </t>
  </si>
  <si>
    <t xml:space="preserve">Barry Callebaut AG Ordinary CHF 0.02 </t>
  </si>
  <si>
    <t xml:space="preserve">Chocoladefabriken Lindt &amp; Spru Ordinary CHF 10.0 </t>
  </si>
  <si>
    <t xml:space="preserve">Chocoladefabriken Lindt &amp; Spru Ordinary CHF 100.0 </t>
  </si>
  <si>
    <t xml:space="preserve">Cie Financiere Richemont SA Ordinary CHF 1.0 </t>
  </si>
  <si>
    <t xml:space="preserve">Clariant AG Ordinary CHF 3.0 </t>
  </si>
  <si>
    <t xml:space="preserve">Credit Suisse Group AG Ordinary CHF 0.04 </t>
  </si>
  <si>
    <t xml:space="preserve">DKSH Holding AG Ordinary CHF 0.1 </t>
  </si>
  <si>
    <t xml:space="preserve">EMS-Chemie Holding AG Ordinary CHF 0.01 </t>
  </si>
  <si>
    <t xml:space="preserve">Flughafen Zurich AG Ordinary CHF 10.0 </t>
  </si>
  <si>
    <t xml:space="preserve">Geberit AG Ordinary CHF 0.1 </t>
  </si>
  <si>
    <t xml:space="preserve">Georg Fischer AG Ordinary CHF 10.0 </t>
  </si>
  <si>
    <t xml:space="preserve">Givaudan SA Ordinary CHF 10.0 </t>
  </si>
  <si>
    <t xml:space="preserve">Helvetia Holding AG Ordinary CHF 0.02 </t>
  </si>
  <si>
    <t xml:space="preserve">Holcim Ltd Ordinary CHF 2.0 </t>
  </si>
  <si>
    <t xml:space="preserve">Julius Baer Group Ltd Ordinary CHF 0.02 </t>
  </si>
  <si>
    <t xml:space="preserve">Kuehne + Nagel Intl AG Ordinary CHF 1.0 </t>
  </si>
  <si>
    <t xml:space="preserve">Logitech Intl SA Ordinary CHF 0.25 </t>
  </si>
  <si>
    <t xml:space="preserve">Lonza Group AG Ordinary CHF 1.0 </t>
  </si>
  <si>
    <t xml:space="preserve">Medmix AG Ordinary CHF 0.01 </t>
  </si>
  <si>
    <t xml:space="preserve">Nestle SA Ordinary CHF 0.1 </t>
  </si>
  <si>
    <t xml:space="preserve">Novartis AG Ordinary CHF 0.5 </t>
  </si>
  <si>
    <t xml:space="preserve">OC Oerlikon Corp AG Ordinary CHF 1.0 </t>
  </si>
  <si>
    <t xml:space="preserve">PSP Swiss Property AG Ordinary CHF 0.1 </t>
  </si>
  <si>
    <t xml:space="preserve">Partners Group Holding AG Ordinary CHF 0.01 </t>
  </si>
  <si>
    <t xml:space="preserve">Roche Holding AG Ordinary CHF 0E-14 </t>
  </si>
  <si>
    <t xml:space="preserve">Roche Holding AG Ordinary CHF 1.0 </t>
  </si>
  <si>
    <t xml:space="preserve">SGS SA Ordinary CHF 1.0 </t>
  </si>
  <si>
    <t xml:space="preserve">SIG Combibloc Group AG Ordinary CHF 0.01 </t>
  </si>
  <si>
    <t xml:space="preserve">Schindler Holding AG Ordinary CHF 0.1 </t>
  </si>
  <si>
    <t xml:space="preserve">Sika AG Ordinary CHF 0.01 </t>
  </si>
  <si>
    <t xml:space="preserve">Sonova Holding AG Ordinary CHF 0.05 </t>
  </si>
  <si>
    <t xml:space="preserve">Straumann Holding AG Ordinary CHF 0.1 </t>
  </si>
  <si>
    <t xml:space="preserve">Sulzer AG Ordinary CHF 0.01 </t>
  </si>
  <si>
    <t xml:space="preserve">Swatch Group AG/The Ordinary CHF 0.45 </t>
  </si>
  <si>
    <t xml:space="preserve">Swatch Group AG/The Ordinary CHF 2.25 </t>
  </si>
  <si>
    <t xml:space="preserve">Swiss Life Holding AG Ordinary CHF 0.1 </t>
  </si>
  <si>
    <t xml:space="preserve">Swiss Prime Site AG Ordinary CHF 15.3 </t>
  </si>
  <si>
    <t xml:space="preserve">Swiss Re AG Ordinary CHF 0.1 </t>
  </si>
  <si>
    <t xml:space="preserve">Swisscom AG Ordinary CHF 1.0 </t>
  </si>
  <si>
    <t xml:space="preserve">Tecan Group AG Ordinary CHF 0.1 </t>
  </si>
  <si>
    <t xml:space="preserve">Temenos AG Ordinary CHF 5.0 </t>
  </si>
  <si>
    <t xml:space="preserve">UBS Group AG Ordinary CHF 0.1 </t>
  </si>
  <si>
    <t xml:space="preserve">VAT Group AG Ordinary CHF 0.1 </t>
  </si>
  <si>
    <t xml:space="preserve">Vifor Pharma AG Ordinary CHF 0.01 </t>
  </si>
  <si>
    <t xml:space="preserve">Zurich Insurance Group AG Ordinary CHF 0.1 </t>
  </si>
  <si>
    <t xml:space="preserve">ams AG Ordinary CHF 0E-14 </t>
  </si>
  <si>
    <t>Derivative</t>
  </si>
  <si>
    <t xml:space="preserve">Eurex Swiss Market New Idx Fut Mar 2022 </t>
  </si>
  <si>
    <t>Net Liquidity</t>
  </si>
  <si>
    <t xml:space="preserve">                                                                            </t>
  </si>
  <si>
    <t xml:space="preserve">AP Moller - Maersk A/S Ordinary DKK 1000.0 </t>
  </si>
  <si>
    <t>DKK</t>
  </si>
  <si>
    <t xml:space="preserve">Ambu A/S Ordinary DKK 0.5 </t>
  </si>
  <si>
    <t xml:space="preserve">Carlsberg AS Ordinary DKK 20.0 </t>
  </si>
  <si>
    <t xml:space="preserve">Chr Hansen Holding A/S Ordinary DKK 10.0 </t>
  </si>
  <si>
    <t xml:space="preserve">Coloplast A/S Ordinary DKK 1.0 </t>
  </si>
  <si>
    <t xml:space="preserve">DSV A/S Ordinary DKK 1.0 </t>
  </si>
  <si>
    <t xml:space="preserve">Demant A/S Ordinary DKK 0.2 </t>
  </si>
  <si>
    <t xml:space="preserve">GN Store Nord AS Ordinary DKK 4.0 </t>
  </si>
  <si>
    <t xml:space="preserve">Genmab A/S Ordinary DKK 1.0 </t>
  </si>
  <si>
    <t xml:space="preserve">H Lundbeck A/S Ordinary DKK 5.0 </t>
  </si>
  <si>
    <t xml:space="preserve">Novo Nordisk A/S Ordinary DKK 0.2 </t>
  </si>
  <si>
    <t xml:space="preserve">Novozymes A/S Ordinary DKK 2.0 </t>
  </si>
  <si>
    <t xml:space="preserve">Orsted AS Ordinary DKK 10.0 </t>
  </si>
  <si>
    <t xml:space="preserve">Pandora A/S Ordinary DKK 0.01 </t>
  </si>
  <si>
    <t xml:space="preserve">ROCKWOOL Intl A/S Ordinary DKK 10.0 </t>
  </si>
  <si>
    <t xml:space="preserve">Royal Unibrew A/S Ordinary DKK 2.0 </t>
  </si>
  <si>
    <t xml:space="preserve">SimCorp A/S Ordinary DKK 1.0 </t>
  </si>
  <si>
    <t xml:space="preserve">Tryg A/S Ordinary DKK 5.0 </t>
  </si>
  <si>
    <t xml:space="preserve">Vestas Wind Systems A/S Ordinary DKK 0.2 </t>
  </si>
  <si>
    <t xml:space="preserve">                                                                                       </t>
  </si>
  <si>
    <t xml:space="preserve">1&amp;1 AG Ordinary EUR </t>
  </si>
  <si>
    <t>EUR</t>
  </si>
  <si>
    <t xml:space="preserve">A2A SpA Ordinary EUR 0.52 </t>
  </si>
  <si>
    <t xml:space="preserve">ABN AMRO Bk NV Dutch Cert EUR </t>
  </si>
  <si>
    <t xml:space="preserve">ACS Actividades de Construccio Ordinary EUR 0.5 </t>
  </si>
  <si>
    <t xml:space="preserve">AIB Group PLC Ordinary EUR 0.625 </t>
  </si>
  <si>
    <t xml:space="preserve">ALD SA Ordinary EUR 1.5 </t>
  </si>
  <si>
    <t xml:space="preserve">ANDRITZ AG Ordinary EUR </t>
  </si>
  <si>
    <t xml:space="preserve">ASM Intl NV Ordinary EUR 0.04 </t>
  </si>
  <si>
    <t xml:space="preserve">ASML Holding NV Ordinary EUR 0.09 </t>
  </si>
  <si>
    <t xml:space="preserve">ASR Nederland NV Ordinary EUR 0.16 </t>
  </si>
  <si>
    <t xml:space="preserve">AXA SA Ordinary EUR 2.29 </t>
  </si>
  <si>
    <t xml:space="preserve">Aalberts NV Ordinary EUR 0.25 </t>
  </si>
  <si>
    <t xml:space="preserve">Acciona SA Ordinary EUR 1.0 </t>
  </si>
  <si>
    <t xml:space="preserve">Accor SA Ordinary EUR 3.0 </t>
  </si>
  <si>
    <t xml:space="preserve">Ackermans &amp; van Haaren NV Ordinary EUR </t>
  </si>
  <si>
    <t xml:space="preserve">Adyen NV Ordinary EUR 0.01 </t>
  </si>
  <si>
    <t xml:space="preserve">Aegon NV Ordinary EUR 0.12 </t>
  </si>
  <si>
    <t xml:space="preserve">Aena SME SA Ordinary EUR 10.0 </t>
  </si>
  <si>
    <t xml:space="preserve">Aeroports de Paris Ordinary EUR 3.0 </t>
  </si>
  <si>
    <t xml:space="preserve">Ageas SA/NV Ordinary EUR </t>
  </si>
  <si>
    <t xml:space="preserve">Air Liquide SA Ordinary EUR 5.5 </t>
  </si>
  <si>
    <t xml:space="preserve">Airbus SE Ordinary EUR 1.0 </t>
  </si>
  <si>
    <t xml:space="preserve">Akzo Nobel NV Ordinary EUR 0.5 </t>
  </si>
  <si>
    <t xml:space="preserve">Allianz SE Ordinary EUR </t>
  </si>
  <si>
    <t xml:space="preserve">Alstom SA Ordinary EUR 7.0 </t>
  </si>
  <si>
    <t xml:space="preserve">Amadeus IT Group SA Ordinary EUR 0.01 </t>
  </si>
  <si>
    <t xml:space="preserve">Amplifon SpA Ordinary EUR 0.02 </t>
  </si>
  <si>
    <t xml:space="preserve">Amundi SA Ordinary EUR 2.5 </t>
  </si>
  <si>
    <t xml:space="preserve">Anheuser-Busch InBev SA/NV Ordinary EUR </t>
  </si>
  <si>
    <t xml:space="preserve">ArcelorMittal SA Ordinary EUR </t>
  </si>
  <si>
    <t xml:space="preserve">Argenx SE Ordinary EUR 0.1 </t>
  </si>
  <si>
    <t xml:space="preserve">Arkema SA Ordinary EUR 10.0 </t>
  </si>
  <si>
    <t xml:space="preserve">Aroundtown SA Ordinary EUR 0.01 </t>
  </si>
  <si>
    <t xml:space="preserve">Assicurazioni Generali SpA Ordinary EUR 1.0 </t>
  </si>
  <si>
    <t xml:space="preserve">Atlantia SpA Ordinary EUR 1.0 </t>
  </si>
  <si>
    <t xml:space="preserve">Atos SE Ordinary EUR 1.0 </t>
  </si>
  <si>
    <t xml:space="preserve">Auto1 Group SE Ordinary EUR </t>
  </si>
  <si>
    <t xml:space="preserve">BASF SE Ordinary EUR </t>
  </si>
  <si>
    <t xml:space="preserve">BE Semiconductor Industries NV Ordinary EUR 0.01 </t>
  </si>
  <si>
    <t xml:space="preserve">BNP Paribas SA Ordinary EUR 2.0 </t>
  </si>
  <si>
    <t xml:space="preserve">Banca Mediolanum SpA Ordinary EUR 0.1 </t>
  </si>
  <si>
    <t xml:space="preserve">Banco Bilbao Vizcaya Argentari Ordinary EUR 0.49 </t>
  </si>
  <si>
    <t xml:space="preserve">Banco Espirito Santo SA Ordinary EUR </t>
  </si>
  <si>
    <t xml:space="preserve">Banco Santander SA Ordinary EUR 0.5 </t>
  </si>
  <si>
    <t xml:space="preserve">Bayer AG Ordinary EUR </t>
  </si>
  <si>
    <t xml:space="preserve">Bayerische Motoren Werke AG Ordinary EUR 1.0 </t>
  </si>
  <si>
    <t xml:space="preserve">Bayerische Motoren Werke AG Preference EUR </t>
  </si>
  <si>
    <t xml:space="preserve">Bechtle AG Ordinary EUR </t>
  </si>
  <si>
    <t xml:space="preserve">Beiersdorf AG Ordinary EUR </t>
  </si>
  <si>
    <t xml:space="preserve">BioMerieux Ordinary EUR </t>
  </si>
  <si>
    <t xml:space="preserve">Bkinter SA Ordinary EUR 0.3 </t>
  </si>
  <si>
    <t xml:space="preserve">Bollore SA Ordinary EUR 0.16 </t>
  </si>
  <si>
    <t xml:space="preserve">Bouygues SA Ordinary EUR 1.0 </t>
  </si>
  <si>
    <t xml:space="preserve">Brenntag SE Ordinary EUR </t>
  </si>
  <si>
    <t xml:space="preserve">Bureau Veritas SA Ordinary EUR 0.12 </t>
  </si>
  <si>
    <t xml:space="preserve">Buzzi Unicem SpA Ordinary EUR </t>
  </si>
  <si>
    <t xml:space="preserve">CNH Industrial NV Ordinary EUR 0.01 </t>
  </si>
  <si>
    <t xml:space="preserve">CNP Assurances Ordinary EUR 1.0 </t>
  </si>
  <si>
    <t xml:space="preserve">CTP NV Ordinary EUR 0.16 </t>
  </si>
  <si>
    <t xml:space="preserve">CTS Eventim AG &amp; Co KGaA Ordinary EUR </t>
  </si>
  <si>
    <t xml:space="preserve">CaixaBk SA Ordinary EUR 1.0 </t>
  </si>
  <si>
    <t xml:space="preserve">Capgemini SE Ordinary EUR 8.0 </t>
  </si>
  <si>
    <t xml:space="preserve">Carl Zeiss Meditec AG Ordinary EUR </t>
  </si>
  <si>
    <t xml:space="preserve">Carrefour SA Ordinary EUR 2.5 </t>
  </si>
  <si>
    <t xml:space="preserve">Cellnex Telecom SA Ordinary EUR 0.25 </t>
  </si>
  <si>
    <t xml:space="preserve">Cie Generale des Etablissement Ordinary EUR 2.0 </t>
  </si>
  <si>
    <t xml:space="preserve">Cie Plastic Omnium SA Ordinary EUR 0.5 </t>
  </si>
  <si>
    <t xml:space="preserve">Cie de Saint-Gobain Ordinary EUR 4.0 </t>
  </si>
  <si>
    <t xml:space="preserve">Commerzbank AG Ordinary EUR </t>
  </si>
  <si>
    <t xml:space="preserve">Continental AG Ordinary EUR </t>
  </si>
  <si>
    <t xml:space="preserve">Corp ACCIONA Energias Renovabl Ordinary EUR </t>
  </si>
  <si>
    <t xml:space="preserve">Covestro AG Ordinary EUR </t>
  </si>
  <si>
    <t xml:space="preserve">Covivio REIT EUR </t>
  </si>
  <si>
    <t xml:space="preserve">Credit Agricole SA Ordinary EUR 3.0 </t>
  </si>
  <si>
    <t xml:space="preserve">D'ieteren Group Ordinary EUR </t>
  </si>
  <si>
    <t xml:space="preserve">DWS Group GmbH &amp; Co KGaA Ordinary EUR </t>
  </si>
  <si>
    <t xml:space="preserve">Daimler AG Ordinary EUR </t>
  </si>
  <si>
    <t xml:space="preserve">Daimler Truck Holding AG Ordinary EUR 0E-14 </t>
  </si>
  <si>
    <t xml:space="preserve">Danone SA Ordinary EUR 0.25 </t>
  </si>
  <si>
    <t xml:space="preserve">Dassault Aviation SA Ordinary EUR 0.8 </t>
  </si>
  <si>
    <t xml:space="preserve">Dassault Systemes SE Ordinary EUR 0.1 </t>
  </si>
  <si>
    <t xml:space="preserve">Davide Campari-Milano NV Ordinary EUR 0.01 </t>
  </si>
  <si>
    <t xml:space="preserve">De' Longhi SpA Ordinary EUR 1.5 </t>
  </si>
  <si>
    <t xml:space="preserve">Delivery Hero SE Ordinary EUR </t>
  </si>
  <si>
    <t xml:space="preserve">Deutsche Bk AG Ordinary EUR </t>
  </si>
  <si>
    <t xml:space="preserve">Deutsche Boerse AG Ordinary EUR </t>
  </si>
  <si>
    <t xml:space="preserve">Deutsche Lufthansa AG Ordinary EUR </t>
  </si>
  <si>
    <t xml:space="preserve">Deutsche Post AG Ordinary EUR </t>
  </si>
  <si>
    <t xml:space="preserve">Deutsche Telekom AG Ordinary EUR </t>
  </si>
  <si>
    <t xml:space="preserve">Deutsche Wohnen SE Ordinary EUR </t>
  </si>
  <si>
    <t xml:space="preserve">DiaSorin SpA Ordinary EUR 1.0 </t>
  </si>
  <si>
    <t xml:space="preserve">E.ON SE Ordinary EUR </t>
  </si>
  <si>
    <t xml:space="preserve">EDP - Energias de Portugal SA Ordinary EUR 1.0 </t>
  </si>
  <si>
    <t xml:space="preserve">EDP Renovaveis SA Ordinary EUR 5.0 </t>
  </si>
  <si>
    <t xml:space="preserve">EXOR NV Ordinary EUR 0.01 </t>
  </si>
  <si>
    <t xml:space="preserve">Edenred Ordinary EUR 2.0 </t>
  </si>
  <si>
    <t xml:space="preserve">Eiffage SA Ordinary EUR 4.0 </t>
  </si>
  <si>
    <t xml:space="preserve">Electricite de France SA Ordinary EUR 0.5 </t>
  </si>
  <si>
    <t xml:space="preserve">Elia Group SA/NV Ordinary EUR </t>
  </si>
  <si>
    <t xml:space="preserve">Elisa Oyj Ordinary EUR </t>
  </si>
  <si>
    <t xml:space="preserve">Enagas SA Ordinary EUR 1.5 </t>
  </si>
  <si>
    <t xml:space="preserve">Endesa SA Ordinary EUR 1.2 </t>
  </si>
  <si>
    <t xml:space="preserve">Enel SpA Ordinary EUR 1.0 </t>
  </si>
  <si>
    <t xml:space="preserve">Engie SA Ordinary EUR 1.0 </t>
  </si>
  <si>
    <t xml:space="preserve">Eni SpA Ordinary EUR </t>
  </si>
  <si>
    <t xml:space="preserve">Erste Group Bk AG Ordinary EUR </t>
  </si>
  <si>
    <t xml:space="preserve">EssilorLuxottica SA Ordinary EUR 0.18 </t>
  </si>
  <si>
    <t xml:space="preserve">Etablissements Franz Colruyt N Ordinary EUR </t>
  </si>
  <si>
    <t xml:space="preserve">Eurazeo SE Ordinary EUR </t>
  </si>
  <si>
    <t xml:space="preserve">Eurofins Scientific SE Ordinary EUR 0.1 </t>
  </si>
  <si>
    <t xml:space="preserve">Euronext NV Ordinary EUR 1.6 </t>
  </si>
  <si>
    <t xml:space="preserve">Evonik Industries AG Ordinary EUR </t>
  </si>
  <si>
    <t xml:space="preserve">Evotec SE Ordinary EUR </t>
  </si>
  <si>
    <t xml:space="preserve">FUCHS PETROLUB SE Ordinary EUR 0E-14 </t>
  </si>
  <si>
    <t xml:space="preserve">FUCHS PETROLUB SE Preference EUR </t>
  </si>
  <si>
    <t xml:space="preserve">Faurecia SE Ordinary EUR 7.0 </t>
  </si>
  <si>
    <t xml:space="preserve">Ferrari NV Ordinary EUR 0.01 </t>
  </si>
  <si>
    <t xml:space="preserve">Ferrovial SA Ordinary EUR 0.2 </t>
  </si>
  <si>
    <t xml:space="preserve">Fielmann AG Ordinary EUR </t>
  </si>
  <si>
    <t xml:space="preserve">FinecoBk Banca Fineco SpA Ordinary EUR 0.33 </t>
  </si>
  <si>
    <t xml:space="preserve">Fluidra SA Ordinary EUR 1.0 </t>
  </si>
  <si>
    <t xml:space="preserve">Fortum Oyj Ordinary EUR 3.4 </t>
  </si>
  <si>
    <t xml:space="preserve">Fraport AG Frankfurt Airport S Ordinary EUR </t>
  </si>
  <si>
    <t xml:space="preserve">Fresenius Medical Care AG &amp; Co Ordinary EUR </t>
  </si>
  <si>
    <t xml:space="preserve">Fresenius SE &amp; Co KGaA Ordinary EUR </t>
  </si>
  <si>
    <t xml:space="preserve">GEA Group AG Ordinary EUR </t>
  </si>
  <si>
    <t xml:space="preserve">Galapagos NV Ordinary EUR </t>
  </si>
  <si>
    <t xml:space="preserve">Galp Energia SGPS SA Ordinary EUR 1.0 </t>
  </si>
  <si>
    <t xml:space="preserve">Gecina SA REIT EUR </t>
  </si>
  <si>
    <t xml:space="preserve">Getlink SE Ordinary EUR 0.4 </t>
  </si>
  <si>
    <t xml:space="preserve">Glanbia PLC Ordinary EUR 0.06 </t>
  </si>
  <si>
    <t xml:space="preserve">Grifols SA Ordinary EUR 0.25 </t>
  </si>
  <si>
    <t xml:space="preserve">Groupe Bruxelles Lambert SA Ordinary EUR </t>
  </si>
  <si>
    <t xml:space="preserve">HOCHTIEF AG Ordinary EUR </t>
  </si>
  <si>
    <t xml:space="preserve">Hannover Rueck SE Ordinary EUR </t>
  </si>
  <si>
    <t xml:space="preserve">HeidelbergCement AG Ordinary EUR </t>
  </si>
  <si>
    <t xml:space="preserve">Heineken Holding NV Ordinary EUR 1.6 </t>
  </si>
  <si>
    <t xml:space="preserve">Heineken NV Ordinary EUR 1.6 </t>
  </si>
  <si>
    <t xml:space="preserve">Hella GmbH &amp; Co KGaA Ordinary EUR </t>
  </si>
  <si>
    <t xml:space="preserve">HelloFresh SE Ordinary EUR </t>
  </si>
  <si>
    <t xml:space="preserve">Henkel AG &amp; Co KGaA Ordinary EUR </t>
  </si>
  <si>
    <t xml:space="preserve">Henkel AG &amp; Co KGaA Preference EUR </t>
  </si>
  <si>
    <t xml:space="preserve">Hera SpA Ordinary EUR 1.0 </t>
  </si>
  <si>
    <t xml:space="preserve">Hermes Intl Ordinary EUR </t>
  </si>
  <si>
    <t xml:space="preserve">Huhtamaki Oyj Ordinary EUR </t>
  </si>
  <si>
    <t xml:space="preserve">ICADE REIT EUR </t>
  </si>
  <si>
    <t xml:space="preserve">IMCD NV Ordinary EUR 0.16 </t>
  </si>
  <si>
    <t xml:space="preserve">ING Groep NV Ordinary EUR 0.01 </t>
  </si>
  <si>
    <t xml:space="preserve">Iberdrola SA Ordinary EUR 0.75 </t>
  </si>
  <si>
    <t xml:space="preserve">Imerys SA Ordinary EUR 2.0 </t>
  </si>
  <si>
    <t xml:space="preserve">InPost SA Ordinary EUR 0.01 </t>
  </si>
  <si>
    <t xml:space="preserve">Industria de Diseno Textil SA Ordinary EUR 0.03 </t>
  </si>
  <si>
    <t xml:space="preserve">Infineon Technologies AG Ordinary EUR </t>
  </si>
  <si>
    <t xml:space="preserve">Infrastrutture Wireless Italia Ordinary EUR </t>
  </si>
  <si>
    <t xml:space="preserve">Inmobiliaria Colonial Socimi S REIT EUR </t>
  </si>
  <si>
    <t xml:space="preserve">Interpump Group SpA Ordinary EUR 0.52 </t>
  </si>
  <si>
    <t xml:space="preserve">Intesa Sanpaolo SpA Ordinary EUR </t>
  </si>
  <si>
    <t xml:space="preserve">Ipsen SA Ordinary EUR 1.0 </t>
  </si>
  <si>
    <t xml:space="preserve">Italgas SpA Ordinary EUR </t>
  </si>
  <si>
    <t xml:space="preserve">JCDecaux SA Ordinary EUR </t>
  </si>
  <si>
    <t xml:space="preserve">JDE Peet's NV Ordinary EUR 0.01 </t>
  </si>
  <si>
    <t xml:space="preserve">Jeronimo Martins SGPS SA Ordinary EUR 1.0 </t>
  </si>
  <si>
    <t xml:space="preserve">Just Eat Takeaway.com NV Ordinary EUR 0.04 </t>
  </si>
  <si>
    <t xml:space="preserve">KBC Group NV Ordinary EUR </t>
  </si>
  <si>
    <t xml:space="preserve">KION Group AG Ordinary EUR </t>
  </si>
  <si>
    <t xml:space="preserve">Kering SA Ordinary EUR 4.0 </t>
  </si>
  <si>
    <t xml:space="preserve">Kerry Group PLC Ordinary EUR 0.125 </t>
  </si>
  <si>
    <t xml:space="preserve">Kesko Oyj Ordinary EUR </t>
  </si>
  <si>
    <t xml:space="preserve">Kingspan Group PLC Ordinary EUR 0.13 </t>
  </si>
  <si>
    <t xml:space="preserve">Klepierre SA REIT EUR </t>
  </si>
  <si>
    <t xml:space="preserve">Knorr-Bremse AG Ordinary EUR </t>
  </si>
  <si>
    <t xml:space="preserve">Kojamo Oyj Ordinary EUR </t>
  </si>
  <si>
    <t xml:space="preserve">Kone Oyj Ordinary EUR </t>
  </si>
  <si>
    <t xml:space="preserve">Koninklijke Ahold Delhaize NV Ordinary EUR 0.01 </t>
  </si>
  <si>
    <t xml:space="preserve">Koninklijke DSM NV Ordinary EUR 1.5 </t>
  </si>
  <si>
    <t xml:space="preserve">Koninklijke KPN NV Ordinary EUR 0.04 </t>
  </si>
  <si>
    <t xml:space="preserve">Koninklijke Philips NV Ordinary EUR 0.2 </t>
  </si>
  <si>
    <t xml:space="preserve">Koninklijke Vopak NV Ordinary EUR 0.5 </t>
  </si>
  <si>
    <t xml:space="preserve">L'Oreal SA Ordinary EUR 0.2 </t>
  </si>
  <si>
    <t xml:space="preserve">LANXESS AG Ordinary EUR </t>
  </si>
  <si>
    <t xml:space="preserve">LEG Immobilien SE Ordinary EUR </t>
  </si>
  <si>
    <t xml:space="preserve">LVMH Moet Hennessy Louis Vuitt Ordinary EUR 0.3 </t>
  </si>
  <si>
    <t xml:space="preserve">La Francaise des Jeux SAEM Ordinary EUR </t>
  </si>
  <si>
    <t xml:space="preserve">Legrand SA Ordinary EUR 4.0 </t>
  </si>
  <si>
    <t xml:space="preserve">Leonardo SpA Ordinary EUR 4.4 </t>
  </si>
  <si>
    <t xml:space="preserve">METRO AG Ordinary EUR </t>
  </si>
  <si>
    <t xml:space="preserve">MTU Aero Engines AG Ordinary EUR </t>
  </si>
  <si>
    <t xml:space="preserve">Mapfre SA Ordinary EUR 0.1 </t>
  </si>
  <si>
    <t xml:space="preserve">Mediobanca Banca di Credito Fi Ordinary EUR 0.5 </t>
  </si>
  <si>
    <t xml:space="preserve">Merck KGaA Ordinary EUR </t>
  </si>
  <si>
    <t xml:space="preserve">Merlin Properties Socimi SA REIT EUR </t>
  </si>
  <si>
    <t xml:space="preserve">Metso Outotec Oyj Ordinary EUR </t>
  </si>
  <si>
    <t xml:space="preserve">Moncler SpA Ordinary EUR </t>
  </si>
  <si>
    <t xml:space="preserve">Muenchener Rueckversicherungs- Ordinary EUR </t>
  </si>
  <si>
    <t xml:space="preserve">NN Group NV Ordinary EUR 0.12 </t>
  </si>
  <si>
    <t xml:space="preserve">Naturgy Energy Group SA Ordinary EUR 1.0 </t>
  </si>
  <si>
    <t xml:space="preserve">Nemetschek SE Ordinary EUR </t>
  </si>
  <si>
    <t xml:space="preserve">Neoen SA Ordinary EUR </t>
  </si>
  <si>
    <t xml:space="preserve">Neste Oyj Ordinary EUR </t>
  </si>
  <si>
    <t xml:space="preserve">Nexi SpA Ordinary EUR </t>
  </si>
  <si>
    <t xml:space="preserve">Nokia Oyj Ordinary EUR </t>
  </si>
  <si>
    <t xml:space="preserve">Nokian Renkaat Oyj Ordinary EUR </t>
  </si>
  <si>
    <t xml:space="preserve">Nordea Bk Abp Ordinary EUR 1.0 </t>
  </si>
  <si>
    <t xml:space="preserve">OMV AG Ordinary EUR </t>
  </si>
  <si>
    <t xml:space="preserve">Orange SA Ordinary EUR 4.0 </t>
  </si>
  <si>
    <t xml:space="preserve">Orion Oyj Ordinary EUR 0.65 CL B </t>
  </si>
  <si>
    <t xml:space="preserve">Orpea SA Ordinary EUR 1.25 </t>
  </si>
  <si>
    <t xml:space="preserve">Pernod Ricard SA Ordinary EUR 1.55 </t>
  </si>
  <si>
    <t xml:space="preserve">Pirelli &amp; C SpA Ordinary EUR </t>
  </si>
  <si>
    <t xml:space="preserve">Porsche Automobil Holding SE Preference EUR </t>
  </si>
  <si>
    <t xml:space="preserve">Poste Italiane SpA Ordinary EUR 1.0 </t>
  </si>
  <si>
    <t xml:space="preserve">ProSiebenSat.1 Media SE Ordinary EUR </t>
  </si>
  <si>
    <t xml:space="preserve">Prosus NV Ordinary EUR 0.05 </t>
  </si>
  <si>
    <t xml:space="preserve">Proximus SADP Ordinary EUR </t>
  </si>
  <si>
    <t xml:space="preserve">Prysmian SpA Ordinary EUR 0.1 </t>
  </si>
  <si>
    <t xml:space="preserve">Pubis Groupe SA Ordinary EUR 0.4 </t>
  </si>
  <si>
    <t xml:space="preserve">Puma SE Ordinary EUR </t>
  </si>
  <si>
    <t xml:space="preserve">QIAGEN NV Ordinary EUR 0.01 </t>
  </si>
  <si>
    <t xml:space="preserve">RTL Group SA Ordinary EUR </t>
  </si>
  <si>
    <t xml:space="preserve">RWE AG Ordinary EUR </t>
  </si>
  <si>
    <t xml:space="preserve">Raiffeisen Bk Intl AG Ordinary EUR </t>
  </si>
  <si>
    <t xml:space="preserve">Randstad NV Ordinary EUR 0.1 </t>
  </si>
  <si>
    <t xml:space="preserve">Rational AG Ordinary EUR </t>
  </si>
  <si>
    <t xml:space="preserve">Recordati Industria Chimica e Ordinary EUR 0.125 </t>
  </si>
  <si>
    <t xml:space="preserve">Red Electrica Corp SA Ordinary EUR 0.5 </t>
  </si>
  <si>
    <t xml:space="preserve">Remy Cointreau SA Ordinary EUR 1.6 </t>
  </si>
  <si>
    <t xml:space="preserve">Renault SA Ordinary EUR 3.81 </t>
  </si>
  <si>
    <t xml:space="preserve">Reply SpA Ordinary EUR 0.13 </t>
  </si>
  <si>
    <t xml:space="preserve">Repsol SA Ordinary EUR 1.0 </t>
  </si>
  <si>
    <t xml:space="preserve">Rexel SA Ordinary EUR 5.0 </t>
  </si>
  <si>
    <t xml:space="preserve">Rheinmetall AG Ordinary EUR </t>
  </si>
  <si>
    <t xml:space="preserve">Rubis SCA Ordinary EUR 1.25 </t>
  </si>
  <si>
    <t xml:space="preserve">SAP SE Ordinary EUR </t>
  </si>
  <si>
    <t xml:space="preserve">SCOR SE Ordinary EUR 7.876972 </t>
  </si>
  <si>
    <t xml:space="preserve">SEB SA Ordinary EUR 1.0 </t>
  </si>
  <si>
    <t xml:space="preserve">SOITEC Ordinary EUR 2.0 </t>
  </si>
  <si>
    <t xml:space="preserve">STMicroelectronics NV Ordinary EUR 1.04 </t>
  </si>
  <si>
    <t xml:space="preserve">SUSE SA Ordinary EUR </t>
  </si>
  <si>
    <t xml:space="preserve">Safran SA Ordinary EUR 0.2 </t>
  </si>
  <si>
    <t xml:space="preserve">Sampo Oyj Ordinary EUR </t>
  </si>
  <si>
    <t xml:space="preserve">Sanofi Ordinary EUR 2.0 </t>
  </si>
  <si>
    <t xml:space="preserve">Sartorius AG Ordinary EUR </t>
  </si>
  <si>
    <t xml:space="preserve">Sartorius AG Preference EUR </t>
  </si>
  <si>
    <t xml:space="preserve">Sartorius Stedim Biotech Ordinary EUR 0.2 </t>
  </si>
  <si>
    <t xml:space="preserve">Schneider Electric SE Ordinary EUR 4.0 </t>
  </si>
  <si>
    <t xml:space="preserve">Scout24 SE Ordinary EUR </t>
  </si>
  <si>
    <t xml:space="preserve">Siemens AG Ordinary EUR 3.0 </t>
  </si>
  <si>
    <t xml:space="preserve">Siemens Energy AG Ordinary EUR </t>
  </si>
  <si>
    <t xml:space="preserve">Siemens Gamesa Renewable Energ Ordinary EUR 0.17 </t>
  </si>
  <si>
    <t xml:space="preserve">Siemens Healthineers AG Ordinary EUR </t>
  </si>
  <si>
    <t xml:space="preserve">Signify NV Ordinary EUR 0.01 </t>
  </si>
  <si>
    <t xml:space="preserve">Snam SpA Ordinary EUR </t>
  </si>
  <si>
    <t xml:space="preserve">Societe Generale SA Ordinary EUR 1.25 </t>
  </si>
  <si>
    <t xml:space="preserve">Sodexo SA Ordinary EUR 4.0 </t>
  </si>
  <si>
    <t xml:space="preserve">Sofina SA Ordinary EUR 0E-14 </t>
  </si>
  <si>
    <t xml:space="preserve">Solvay SA Ordinary EUR 15.0 </t>
  </si>
  <si>
    <t xml:space="preserve">Stellantis NV Ordinary EUR 0.01 </t>
  </si>
  <si>
    <t xml:space="preserve">Stora Enso Oyj Ordinary EUR 1.7 </t>
  </si>
  <si>
    <t xml:space="preserve">Suez SA Ordinary EUR 4.0 </t>
  </si>
  <si>
    <t xml:space="preserve">Symrise AG Ordinary EUR </t>
  </si>
  <si>
    <t xml:space="preserve">Talanx AG Ordinary EUR </t>
  </si>
  <si>
    <t xml:space="preserve">TeamViewer AG Ordinary EUR </t>
  </si>
  <si>
    <t xml:space="preserve">TechnipFMC PLC Ordinary EUR 1.0 </t>
  </si>
  <si>
    <t xml:space="preserve">Telecom Italia SpA/Milano Ordinary EUR </t>
  </si>
  <si>
    <t xml:space="preserve">Telecom Italia SpA/Milano Savings Share EUR </t>
  </si>
  <si>
    <t xml:space="preserve">Telefonica Deutschland Holding Ordinary EUR </t>
  </si>
  <si>
    <t xml:space="preserve">Telefonica SA Ordinary EUR 1.0 </t>
  </si>
  <si>
    <t xml:space="preserve">Telekom Austria AG Ordinary EUR </t>
  </si>
  <si>
    <t xml:space="preserve">Telenet Group Holding NV Ordinary EUR </t>
  </si>
  <si>
    <t xml:space="preserve">Teleperformance Ordinary EUR 2.5 </t>
  </si>
  <si>
    <t xml:space="preserve">Tenaris SA Ordinary EUR 1.0 </t>
  </si>
  <si>
    <t xml:space="preserve">Terna - Rete Elettrica Naziona Ordinary EUR 0.22 </t>
  </si>
  <si>
    <t xml:space="preserve">Thales SA Ordinary EUR 3.0 </t>
  </si>
  <si>
    <t xml:space="preserve">TotalEnergies SE Ordinary EUR 2.5 </t>
  </si>
  <si>
    <t xml:space="preserve">Traton SE Ordinary EUR </t>
  </si>
  <si>
    <t xml:space="preserve">UCB SA Ordinary EUR </t>
  </si>
  <si>
    <t xml:space="preserve">UPM-Kymmene Oyj Ordinary EUR </t>
  </si>
  <si>
    <t xml:space="preserve">Ubisoft Entertainment SA Ordinary EUR 0.0775 </t>
  </si>
  <si>
    <t xml:space="preserve">Umicore SA Ordinary EUR </t>
  </si>
  <si>
    <t xml:space="preserve">UniCredit SpA Ordinary EUR </t>
  </si>
  <si>
    <t xml:space="preserve">Unibail-Rodamco-Westfield REIT EUR </t>
  </si>
  <si>
    <t xml:space="preserve">Uniper SE Ordinary EUR </t>
  </si>
  <si>
    <t xml:space="preserve">UnipolSai Assicurazioni SpA Ordinary EUR </t>
  </si>
  <si>
    <t xml:space="preserve">Universal Music Group NV Ordinary EUR 10.0 </t>
  </si>
  <si>
    <t xml:space="preserve">Utd Internet AG Ordinary EUR </t>
  </si>
  <si>
    <t xml:space="preserve">Valeo Ordinary EUR 1.0 </t>
  </si>
  <si>
    <t xml:space="preserve">Valmet Oyj Ordinary EUR </t>
  </si>
  <si>
    <t xml:space="preserve">Vantage Towers AG Ordinary EUR </t>
  </si>
  <si>
    <t xml:space="preserve">Varta AG Ordinary EUR </t>
  </si>
  <si>
    <t xml:space="preserve">Veolia Environnement SA Ordinary EUR 5.0 </t>
  </si>
  <si>
    <t xml:space="preserve">Verbund AG Ordinary EUR </t>
  </si>
  <si>
    <t xml:space="preserve">Vinci SA Ordinary EUR 2.5 </t>
  </si>
  <si>
    <t xml:space="preserve">Vitesco Technologies Group AG Ordinary EUR </t>
  </si>
  <si>
    <t xml:space="preserve">Vivendi SE Ordinary EUR 5.5 </t>
  </si>
  <si>
    <t xml:space="preserve">Vonovia SE Ordinary EUR </t>
  </si>
  <si>
    <t xml:space="preserve">Wacker Chemie AG Ordinary EUR </t>
  </si>
  <si>
    <t xml:space="preserve">Warehouses De Pauw CVA REIT EUR </t>
  </si>
  <si>
    <t xml:space="preserve">Wartsila OYJ Abp Ordinary EUR </t>
  </si>
  <si>
    <t xml:space="preserve">Wendel SE Ordinary EUR 4.0 </t>
  </si>
  <si>
    <t xml:space="preserve">Wolters Kluwer NV Ordinary EUR 0.12 </t>
  </si>
  <si>
    <t xml:space="preserve">Worldline SA/France Ordinary EUR 0.68 </t>
  </si>
  <si>
    <t xml:space="preserve">Zalando SE Ordinary EUR </t>
  </si>
  <si>
    <t xml:space="preserve">adidas AG Ordinary EUR </t>
  </si>
  <si>
    <t xml:space="preserve">thyssenkrupp AG Ordinary EUR </t>
  </si>
  <si>
    <t xml:space="preserve">voestalpine AG Ordinary EUR </t>
  </si>
  <si>
    <t xml:space="preserve">Eurex EURO STOXX 50 Future Mar 2022 </t>
  </si>
  <si>
    <t xml:space="preserve">                                                                    </t>
  </si>
  <si>
    <t>Accrued Expense</t>
  </si>
  <si>
    <t xml:space="preserve">                                                                                                  </t>
  </si>
  <si>
    <t xml:space="preserve">Adevinta ASA Ordinary NOK 0.2 </t>
  </si>
  <si>
    <t>NOK</t>
  </si>
  <si>
    <t xml:space="preserve">Aker ASA Ordinary NOK 28.0 </t>
  </si>
  <si>
    <t xml:space="preserve">Aker BP ASA Ordinary NOK 1.0 </t>
  </si>
  <si>
    <t xml:space="preserve">DNB Bk ASA Ordinary NOK 12.5 </t>
  </si>
  <si>
    <t xml:space="preserve">Equinor ASA Ordinary NOK 2.5 </t>
  </si>
  <si>
    <t xml:space="preserve">Gjensidige Forsikring ASA Ordinary NOK 2.0 </t>
  </si>
  <si>
    <t xml:space="preserve">Leroy Seafood Group ASA Ordinary NOK 1.0 </t>
  </si>
  <si>
    <t xml:space="preserve">Mowi ASA Ordinary NOK 7.5 </t>
  </si>
  <si>
    <t xml:space="preserve">Norsk Hydro ASA Ordinary NOK 1.098 </t>
  </si>
  <si>
    <t xml:space="preserve">Orkla ASA Ordinary NOK 1.25 </t>
  </si>
  <si>
    <t xml:space="preserve">Salmar ASA Ordinary NOK 0.25 </t>
  </si>
  <si>
    <t xml:space="preserve">Scatec ASA Ordinary NOK 0.025 </t>
  </si>
  <si>
    <t xml:space="preserve">Schibsted ASA Ordinary NOK 0.5 </t>
  </si>
  <si>
    <t xml:space="preserve">Schibsted ASA Ordinary NOK 0.5 CL A </t>
  </si>
  <si>
    <t xml:space="preserve">TOMRA Systems ASA Ordinary NOK 1.0 </t>
  </si>
  <si>
    <t xml:space="preserve">Telenor ASA Ordinary NOK 6.0 </t>
  </si>
  <si>
    <t xml:space="preserve">Yara Intl ASA Ordinary NOK 1.7 </t>
  </si>
  <si>
    <t xml:space="preserve">                                                                          </t>
  </si>
  <si>
    <t xml:space="preserve">Allegro.eu SA Ordinary PLN 0.01 </t>
  </si>
  <si>
    <t>PLN</t>
  </si>
  <si>
    <t xml:space="preserve">Bk Polska Kasa Opieki SA Ordinary PLN 1.0 </t>
  </si>
  <si>
    <t xml:space="preserve">CD Projekt SA Ordinary PLN 1.0 </t>
  </si>
  <si>
    <t xml:space="preserve">Cyfrowy Polsat SA Ordinary PLN 0.04 </t>
  </si>
  <si>
    <t xml:space="preserve">Dino Polska SA Ordinary PLN 0.1 </t>
  </si>
  <si>
    <t xml:space="preserve">KGHM Polska Miedz SA Ordinary PLN 10.0 </t>
  </si>
  <si>
    <t xml:space="preserve">LPP SA Ordinary PLN 2.0 </t>
  </si>
  <si>
    <t xml:space="preserve">Pepco Group NV Ordinary PLN </t>
  </si>
  <si>
    <t xml:space="preserve">Polski Koncern Naftowy ORLEN S Ordinary PLN 1.25 </t>
  </si>
  <si>
    <t xml:space="preserve">Polskie Gornictwo Naftowe i Ga Ordinary PLN 1.0 </t>
  </si>
  <si>
    <t xml:space="preserve">Powszechna Kasa Oszczednosci B Ordinary PLN 1.0 </t>
  </si>
  <si>
    <t xml:space="preserve">Powszechny Zaklad Ubezpieczen Ordinary PLN 0.1 </t>
  </si>
  <si>
    <t xml:space="preserve">Santander Bk Polska SA Ordinary PLN 10.0 </t>
  </si>
  <si>
    <t xml:space="preserve">                                                                                    </t>
  </si>
  <si>
    <t xml:space="preserve">Alfa Laval AB Ordinary SEK 2.84 </t>
  </si>
  <si>
    <t>SEK</t>
  </si>
  <si>
    <t xml:space="preserve">Assa Abloy AB Ordinary SEK 1.0 </t>
  </si>
  <si>
    <t xml:space="preserve">Atlas Copco AB Ordinary SEK 0.639 </t>
  </si>
  <si>
    <t xml:space="preserve">Beijer Ref AB Ordinary SEK 0.97 </t>
  </si>
  <si>
    <t xml:space="preserve">Boliden AB Ordinary SEK 2.11 </t>
  </si>
  <si>
    <t xml:space="preserve">Castellum AB Ordinary SEK 0.5 </t>
  </si>
  <si>
    <t xml:space="preserve">EQT AB Ordinary SEK 0.1 </t>
  </si>
  <si>
    <t xml:space="preserve">Electrolux AB Ordinary SEK 5.0 </t>
  </si>
  <si>
    <t xml:space="preserve">Elekta AB Ordinary SEK 0.5 </t>
  </si>
  <si>
    <t xml:space="preserve">Epiroc AB Ordinary SEK 0.412413 </t>
  </si>
  <si>
    <t xml:space="preserve">Essity AB Ordinary SEK 3.35 </t>
  </si>
  <si>
    <t xml:space="preserve">Evolution AB Ordinary SEK 0.003 </t>
  </si>
  <si>
    <t xml:space="preserve">Fastighets AB Balder Ordinary SEK 1.0 </t>
  </si>
  <si>
    <t xml:space="preserve">Getinge AB Ordinary SEK 0.5 </t>
  </si>
  <si>
    <t xml:space="preserve">H &amp; M Hennes &amp; Mauritz AB Ordinary SEK </t>
  </si>
  <si>
    <t xml:space="preserve">Hexagon AB Ordinary SEK 0.22 </t>
  </si>
  <si>
    <t xml:space="preserve">Holmen AB Ordinary SEK 25.0 </t>
  </si>
  <si>
    <t xml:space="preserve">Husqvarna AB Ordinary SEK 2.0 </t>
  </si>
  <si>
    <t xml:space="preserve">Industrivarden AB Ordinary SEK 2.5 </t>
  </si>
  <si>
    <t xml:space="preserve">Indutrade AB Ordinary SEK 1.0 </t>
  </si>
  <si>
    <t xml:space="preserve">Investment AB Latour Ordinary SEK </t>
  </si>
  <si>
    <t xml:space="preserve">Investor AB Ordinary SEK 6.25 </t>
  </si>
  <si>
    <t xml:space="preserve">Kinnevik AB Ordinary SEK 0.1 </t>
  </si>
  <si>
    <t xml:space="preserve">L E Lundbergforetagen AB Ordinary SEK </t>
  </si>
  <si>
    <t xml:space="preserve">Lifco AB Ordinary SEK 0.2 </t>
  </si>
  <si>
    <t xml:space="preserve">Lundin Energy AB Ordinary SEK 0.01 </t>
  </si>
  <si>
    <t xml:space="preserve">Nibe Industrier AB Ordinary SEK 0.03906 </t>
  </si>
  <si>
    <t xml:space="preserve">SKF AB Ordinary SEK 2.5 </t>
  </si>
  <si>
    <t xml:space="preserve">Saab AB Ordinary SEK </t>
  </si>
  <si>
    <t xml:space="preserve">Sagax AB Ordinary SEK 1.75 </t>
  </si>
  <si>
    <t xml:space="preserve">Sandvik AB Ordinary SEK 1.2 </t>
  </si>
  <si>
    <t xml:space="preserve">Securitas AB Ordinary SEK 1.0 </t>
  </si>
  <si>
    <t xml:space="preserve">Sinch AB Ordinary SEK 0.1 </t>
  </si>
  <si>
    <t xml:space="preserve">Skandinaviska Enskilda Bken AB Ordinary SEK 10.0 </t>
  </si>
  <si>
    <t xml:space="preserve">Skanska AB Ordinary SEK </t>
  </si>
  <si>
    <t xml:space="preserve">Svenska Cellulosa AB SCA Ordinary SEK 3.33 </t>
  </si>
  <si>
    <t xml:space="preserve">Svenska Handelsbanken AB Ordinary SEK 1.55 </t>
  </si>
  <si>
    <t xml:space="preserve">Sweco AB Ordinary SEK 1.0 </t>
  </si>
  <si>
    <t xml:space="preserve">Swedish Match AB Ordinary SEK 1.9823 </t>
  </si>
  <si>
    <t xml:space="preserve">Swedish Orphan Biovitrum AB Ordinary SEK 0.55 </t>
  </si>
  <si>
    <t xml:space="preserve">Tele2 AB Ordinary SEK 1.25 </t>
  </si>
  <si>
    <t xml:space="preserve">Telefonaktiebolaget LM Ericsso Ordinary SEK </t>
  </si>
  <si>
    <t xml:space="preserve">Telefonaktiebolaget LM Ericsso Ordinary SEK 5.0 </t>
  </si>
  <si>
    <t xml:space="preserve">Telia Co AB Ordinary SEK 3.2 </t>
  </si>
  <si>
    <t xml:space="preserve">Trelleborg AB Ordinary SEK 25.0 </t>
  </si>
  <si>
    <t xml:space="preserve">Volvo AB Ordinary SEK 1.2 </t>
  </si>
  <si>
    <t xml:space="preserve">OML Stockholm OMXS30 Idx Futur Jan 2022 </t>
  </si>
  <si>
    <t>USD</t>
  </si>
  <si>
    <t xml:space="preserve">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</si>
</sst>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77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20" ht="15">
      <c r="A2" t="s">
        <v>19</v>
      </c>
      <c r="B2" t="s">
        <v>20</v>
      </c>
      <c r="C2" t="str">
        <f aca="true" t="shared" si="0" ref="C2:C65">"31-Dec-21"</f>
        <v>31-Dec-21</v>
      </c>
      <c r="D2" t="s">
        <v>21</v>
      </c>
      <c r="E2" t="s">
        <v>22</v>
      </c>
      <c r="F2" t="str">
        <f>"7108899"</f>
        <v>7108899</v>
      </c>
      <c r="G2" t="s">
        <v>23</v>
      </c>
      <c r="I2" t="s">
        <v>24</v>
      </c>
      <c r="J2">
        <v>0.810302433</v>
      </c>
      <c r="K2">
        <v>1090773</v>
      </c>
      <c r="L2">
        <v>24963728.58</v>
      </c>
      <c r="M2">
        <v>18200362.48</v>
      </c>
      <c r="N2">
        <v>34.9</v>
      </c>
      <c r="O2">
        <v>38067977.7</v>
      </c>
      <c r="P2">
        <v>30846574.95</v>
      </c>
      <c r="Q2">
        <v>0</v>
      </c>
      <c r="R2">
        <v>0</v>
      </c>
      <c r="S2">
        <v>0.713</v>
      </c>
      <c r="T2" t="s">
        <v>25</v>
      </c>
    </row>
    <row r="3" spans="1:20" ht="15">
      <c r="A3" t="s">
        <v>19</v>
      </c>
      <c r="B3" t="s">
        <v>20</v>
      </c>
      <c r="C3" t="str">
        <f t="shared" si="0"/>
        <v>31-Dec-21</v>
      </c>
      <c r="D3" t="s">
        <v>21</v>
      </c>
      <c r="E3" t="s">
        <v>22</v>
      </c>
      <c r="F3" t="str">
        <f>"7110720"</f>
        <v>7110720</v>
      </c>
      <c r="G3" t="s">
        <v>26</v>
      </c>
      <c r="I3" t="s">
        <v>24</v>
      </c>
      <c r="J3">
        <v>0.810302433</v>
      </c>
      <c r="K3">
        <v>100908</v>
      </c>
      <c r="L3">
        <v>6858707.22</v>
      </c>
      <c r="M3">
        <v>4940997.23</v>
      </c>
      <c r="N3">
        <v>46.6</v>
      </c>
      <c r="O3">
        <v>4702312.8</v>
      </c>
      <c r="P3">
        <v>3810295.5</v>
      </c>
      <c r="Q3">
        <v>0</v>
      </c>
      <c r="R3">
        <v>0</v>
      </c>
      <c r="S3">
        <v>0.088</v>
      </c>
      <c r="T3" t="s">
        <v>25</v>
      </c>
    </row>
    <row r="4" spans="1:20" ht="15">
      <c r="A4" t="s">
        <v>19</v>
      </c>
      <c r="B4" t="s">
        <v>20</v>
      </c>
      <c r="C4" t="str">
        <f t="shared" si="0"/>
        <v>31-Dec-21</v>
      </c>
      <c r="D4" t="s">
        <v>21</v>
      </c>
      <c r="E4" t="s">
        <v>22</v>
      </c>
      <c r="F4" t="str">
        <f>"BJT1GR5"</f>
        <v>BJT1GR5</v>
      </c>
      <c r="G4" t="s">
        <v>27</v>
      </c>
      <c r="I4" t="s">
        <v>24</v>
      </c>
      <c r="J4">
        <v>0.810302433</v>
      </c>
      <c r="K4">
        <v>306404</v>
      </c>
      <c r="L4">
        <v>13295044.74</v>
      </c>
      <c r="M4">
        <v>9781498.58</v>
      </c>
      <c r="N4">
        <v>80.74</v>
      </c>
      <c r="O4">
        <v>24739058.96</v>
      </c>
      <c r="P4">
        <v>20046119.67</v>
      </c>
      <c r="Q4">
        <v>0</v>
      </c>
      <c r="R4">
        <v>0</v>
      </c>
      <c r="S4">
        <v>0.463</v>
      </c>
      <c r="T4" t="s">
        <v>25</v>
      </c>
    </row>
    <row r="5" spans="1:20" ht="15">
      <c r="A5" t="s">
        <v>19</v>
      </c>
      <c r="B5" t="s">
        <v>20</v>
      </c>
      <c r="C5" t="str">
        <f t="shared" si="0"/>
        <v>31-Dec-21</v>
      </c>
      <c r="D5" t="s">
        <v>21</v>
      </c>
      <c r="E5" t="s">
        <v>22</v>
      </c>
      <c r="F5" t="str">
        <f>"B76D410"</f>
        <v>B76D410</v>
      </c>
      <c r="G5" t="s">
        <v>28</v>
      </c>
      <c r="I5" t="s">
        <v>24</v>
      </c>
      <c r="J5">
        <v>0.810302433</v>
      </c>
      <c r="K5">
        <v>11535</v>
      </c>
      <c r="L5">
        <v>1196049.13</v>
      </c>
      <c r="M5">
        <v>927084.45</v>
      </c>
      <c r="N5">
        <v>118.6</v>
      </c>
      <c r="O5">
        <v>1368051</v>
      </c>
      <c r="P5">
        <v>1108535.05</v>
      </c>
      <c r="Q5">
        <v>0</v>
      </c>
      <c r="R5">
        <v>0</v>
      </c>
      <c r="S5">
        <v>0.026</v>
      </c>
      <c r="T5" t="s">
        <v>25</v>
      </c>
    </row>
    <row r="6" spans="1:20" ht="15">
      <c r="A6" t="s">
        <v>19</v>
      </c>
      <c r="B6" t="s">
        <v>20</v>
      </c>
      <c r="C6" t="str">
        <f t="shared" si="0"/>
        <v>31-Dec-21</v>
      </c>
      <c r="D6" t="s">
        <v>21</v>
      </c>
      <c r="E6" t="s">
        <v>22</v>
      </c>
      <c r="F6" t="str">
        <f>"7124594"</f>
        <v>7124594</v>
      </c>
      <c r="G6" t="s">
        <v>29</v>
      </c>
      <c r="I6" t="s">
        <v>24</v>
      </c>
      <c r="J6">
        <v>0.810302433</v>
      </c>
      <c r="K6">
        <v>29800</v>
      </c>
      <c r="L6">
        <v>3820159.16</v>
      </c>
      <c r="M6">
        <v>2743084.66</v>
      </c>
      <c r="N6">
        <v>149.1</v>
      </c>
      <c r="O6">
        <v>4443180</v>
      </c>
      <c r="P6">
        <v>3600319.56</v>
      </c>
      <c r="Q6">
        <v>0</v>
      </c>
      <c r="R6">
        <v>0</v>
      </c>
      <c r="S6">
        <v>0.083</v>
      </c>
      <c r="T6" t="s">
        <v>25</v>
      </c>
    </row>
    <row r="7" spans="1:20" ht="15">
      <c r="A7" t="s">
        <v>19</v>
      </c>
      <c r="B7" t="s">
        <v>20</v>
      </c>
      <c r="C7" t="str">
        <f t="shared" si="0"/>
        <v>31-Dec-21</v>
      </c>
      <c r="D7" t="s">
        <v>21</v>
      </c>
      <c r="E7" t="s">
        <v>22</v>
      </c>
      <c r="F7" t="str">
        <f>"BMFY8R3"</f>
        <v>BMFY8R3</v>
      </c>
      <c r="G7" t="s">
        <v>30</v>
      </c>
      <c r="I7" t="s">
        <v>24</v>
      </c>
      <c r="J7">
        <v>0.810302433</v>
      </c>
      <c r="K7">
        <v>17684</v>
      </c>
      <c r="L7">
        <v>1049070.45</v>
      </c>
      <c r="M7">
        <v>746872.33</v>
      </c>
      <c r="N7">
        <v>70.8</v>
      </c>
      <c r="O7">
        <v>1252027.2</v>
      </c>
      <c r="P7">
        <v>1014520.69</v>
      </c>
      <c r="Q7">
        <v>0</v>
      </c>
      <c r="R7">
        <v>0</v>
      </c>
      <c r="S7">
        <v>0.023</v>
      </c>
      <c r="T7" t="s">
        <v>25</v>
      </c>
    </row>
    <row r="8" spans="1:20" ht="15">
      <c r="A8" t="s">
        <v>19</v>
      </c>
      <c r="B8" t="s">
        <v>20</v>
      </c>
      <c r="C8" t="str">
        <f t="shared" si="0"/>
        <v>31-Dec-21</v>
      </c>
      <c r="D8" t="s">
        <v>21</v>
      </c>
      <c r="E8" t="s">
        <v>22</v>
      </c>
      <c r="F8" t="str">
        <f>"5476929"</f>
        <v>5476929</v>
      </c>
      <c r="G8" t="s">
        <v>31</v>
      </c>
      <c r="I8" t="s">
        <v>24</v>
      </c>
      <c r="J8">
        <v>0.810302433</v>
      </c>
      <c r="K8">
        <v>2097</v>
      </c>
      <c r="L8">
        <v>3447588.06</v>
      </c>
      <c r="M8">
        <v>2667037.54</v>
      </c>
      <c r="N8">
        <v>2216</v>
      </c>
      <c r="O8">
        <v>4646952</v>
      </c>
      <c r="P8">
        <v>3765436.51</v>
      </c>
      <c r="Q8">
        <v>0</v>
      </c>
      <c r="R8">
        <v>0</v>
      </c>
      <c r="S8">
        <v>0.087</v>
      </c>
      <c r="T8" t="s">
        <v>25</v>
      </c>
    </row>
    <row r="9" spans="1:20" ht="15">
      <c r="A9" t="s">
        <v>19</v>
      </c>
      <c r="B9" t="s">
        <v>20</v>
      </c>
      <c r="C9" t="str">
        <f t="shared" si="0"/>
        <v>31-Dec-21</v>
      </c>
      <c r="D9" t="s">
        <v>21</v>
      </c>
      <c r="E9" t="s">
        <v>22</v>
      </c>
      <c r="F9" t="str">
        <f>"5962280"</f>
        <v>5962280</v>
      </c>
      <c r="G9" t="s">
        <v>32</v>
      </c>
      <c r="I9" t="s">
        <v>24</v>
      </c>
      <c r="J9">
        <v>0.810302433</v>
      </c>
      <c r="K9">
        <v>695</v>
      </c>
      <c r="L9">
        <v>4035501.4</v>
      </c>
      <c r="M9">
        <v>2964411.43</v>
      </c>
      <c r="N9">
        <v>12630</v>
      </c>
      <c r="O9">
        <v>8777850</v>
      </c>
      <c r="P9">
        <v>7112713.21</v>
      </c>
      <c r="Q9">
        <v>0</v>
      </c>
      <c r="R9">
        <v>0</v>
      </c>
      <c r="S9">
        <v>0.164</v>
      </c>
      <c r="T9" t="s">
        <v>25</v>
      </c>
    </row>
    <row r="10" spans="1:20" ht="15">
      <c r="A10" t="s">
        <v>19</v>
      </c>
      <c r="B10" t="s">
        <v>20</v>
      </c>
      <c r="C10" t="str">
        <f t="shared" si="0"/>
        <v>31-Dec-21</v>
      </c>
      <c r="D10" t="s">
        <v>21</v>
      </c>
      <c r="E10" t="s">
        <v>22</v>
      </c>
      <c r="F10" t="str">
        <f>"5962309"</f>
        <v>5962309</v>
      </c>
      <c r="G10" t="s">
        <v>33</v>
      </c>
      <c r="I10" t="s">
        <v>24</v>
      </c>
      <c r="J10">
        <v>0.810302433</v>
      </c>
      <c r="K10">
        <v>68</v>
      </c>
      <c r="L10">
        <v>4496321.53</v>
      </c>
      <c r="M10">
        <v>3296734.84</v>
      </c>
      <c r="N10">
        <v>122200</v>
      </c>
      <c r="O10">
        <v>8309600</v>
      </c>
      <c r="P10">
        <v>6733289.1</v>
      </c>
      <c r="Q10">
        <v>0</v>
      </c>
      <c r="R10">
        <v>0</v>
      </c>
      <c r="S10">
        <v>0.156</v>
      </c>
      <c r="T10" t="s">
        <v>25</v>
      </c>
    </row>
    <row r="11" spans="1:20" ht="15">
      <c r="A11" t="s">
        <v>19</v>
      </c>
      <c r="B11" t="s">
        <v>20</v>
      </c>
      <c r="C11" t="str">
        <f t="shared" si="0"/>
        <v>31-Dec-21</v>
      </c>
      <c r="D11" t="s">
        <v>21</v>
      </c>
      <c r="E11" t="s">
        <v>22</v>
      </c>
      <c r="F11" t="str">
        <f>"BCRWZ18"</f>
        <v>BCRWZ18</v>
      </c>
      <c r="G11" t="s">
        <v>34</v>
      </c>
      <c r="I11" t="s">
        <v>24</v>
      </c>
      <c r="J11">
        <v>0.810302433</v>
      </c>
      <c r="K11">
        <v>333771</v>
      </c>
      <c r="L11">
        <v>25955375.84</v>
      </c>
      <c r="M11">
        <v>18697631.15</v>
      </c>
      <c r="N11">
        <v>136.95</v>
      </c>
      <c r="O11">
        <v>45709938.45</v>
      </c>
      <c r="P11">
        <v>37038874.34</v>
      </c>
      <c r="Q11">
        <v>0</v>
      </c>
      <c r="R11">
        <v>0</v>
      </c>
      <c r="S11">
        <v>0.856</v>
      </c>
      <c r="T11" t="s">
        <v>25</v>
      </c>
    </row>
    <row r="12" spans="1:20" ht="15">
      <c r="A12" t="s">
        <v>19</v>
      </c>
      <c r="B12" t="s">
        <v>20</v>
      </c>
      <c r="C12" t="str">
        <f t="shared" si="0"/>
        <v>31-Dec-21</v>
      </c>
      <c r="D12" t="s">
        <v>21</v>
      </c>
      <c r="E12" t="s">
        <v>22</v>
      </c>
      <c r="F12" t="str">
        <f>"7113990"</f>
        <v>7113990</v>
      </c>
      <c r="G12" t="s">
        <v>35</v>
      </c>
      <c r="I12" t="s">
        <v>24</v>
      </c>
      <c r="J12">
        <v>0.810302433</v>
      </c>
      <c r="K12">
        <v>148922</v>
      </c>
      <c r="L12">
        <v>2385460.71</v>
      </c>
      <c r="M12">
        <v>1748453.3</v>
      </c>
      <c r="N12">
        <v>19</v>
      </c>
      <c r="O12">
        <v>2829518</v>
      </c>
      <c r="P12">
        <v>2292765.32</v>
      </c>
      <c r="Q12">
        <v>0</v>
      </c>
      <c r="R12">
        <v>0</v>
      </c>
      <c r="S12">
        <v>0.053</v>
      </c>
      <c r="T12" t="s">
        <v>25</v>
      </c>
    </row>
    <row r="13" spans="1:20" ht="15">
      <c r="A13" t="s">
        <v>19</v>
      </c>
      <c r="B13" t="s">
        <v>20</v>
      </c>
      <c r="C13" t="str">
        <f t="shared" si="0"/>
        <v>31-Dec-21</v>
      </c>
      <c r="D13" t="s">
        <v>21</v>
      </c>
      <c r="E13" t="s">
        <v>22</v>
      </c>
      <c r="F13" t="str">
        <f>"7171589"</f>
        <v>7171589</v>
      </c>
      <c r="G13" t="s">
        <v>36</v>
      </c>
      <c r="I13" t="s">
        <v>24</v>
      </c>
      <c r="J13">
        <v>0.810302433</v>
      </c>
      <c r="K13">
        <v>1609943</v>
      </c>
      <c r="L13">
        <v>26470752.27</v>
      </c>
      <c r="M13">
        <v>19052283.88</v>
      </c>
      <c r="N13">
        <v>8.872</v>
      </c>
      <c r="O13">
        <v>14283414.3</v>
      </c>
      <c r="P13">
        <v>11573885.36</v>
      </c>
      <c r="Q13">
        <v>0</v>
      </c>
      <c r="R13">
        <v>0</v>
      </c>
      <c r="S13">
        <v>0.267</v>
      </c>
      <c r="T13" t="s">
        <v>25</v>
      </c>
    </row>
    <row r="14" spans="1:20" ht="15">
      <c r="A14" t="s">
        <v>19</v>
      </c>
      <c r="B14" t="s">
        <v>20</v>
      </c>
      <c r="C14" t="str">
        <f t="shared" si="0"/>
        <v>31-Dec-21</v>
      </c>
      <c r="D14" t="s">
        <v>21</v>
      </c>
      <c r="E14" t="s">
        <v>22</v>
      </c>
      <c r="F14" t="str">
        <f>"B71QPM2"</f>
        <v>B71QPM2</v>
      </c>
      <c r="G14" t="s">
        <v>37</v>
      </c>
      <c r="I14" t="s">
        <v>24</v>
      </c>
      <c r="J14">
        <v>0.810302433</v>
      </c>
      <c r="K14">
        <v>21814</v>
      </c>
      <c r="L14">
        <v>1423230.29</v>
      </c>
      <c r="M14">
        <v>1065888.21</v>
      </c>
      <c r="N14">
        <v>75.3</v>
      </c>
      <c r="O14">
        <v>1642594.2</v>
      </c>
      <c r="P14">
        <v>1330998.08</v>
      </c>
      <c r="Q14">
        <v>0</v>
      </c>
      <c r="R14">
        <v>0</v>
      </c>
      <c r="S14">
        <v>0.031</v>
      </c>
      <c r="T14" t="s">
        <v>25</v>
      </c>
    </row>
    <row r="15" spans="1:20" ht="15">
      <c r="A15" t="s">
        <v>19</v>
      </c>
      <c r="B15" t="s">
        <v>20</v>
      </c>
      <c r="C15" t="str">
        <f t="shared" si="0"/>
        <v>31-Dec-21</v>
      </c>
      <c r="D15" t="s">
        <v>21</v>
      </c>
      <c r="E15" t="s">
        <v>22</v>
      </c>
      <c r="F15" t="str">
        <f>"7635610"</f>
        <v>7635610</v>
      </c>
      <c r="G15" t="s">
        <v>38</v>
      </c>
      <c r="I15" t="s">
        <v>24</v>
      </c>
      <c r="J15">
        <v>0.810302433</v>
      </c>
      <c r="K15">
        <v>4663</v>
      </c>
      <c r="L15">
        <v>2103690.55</v>
      </c>
      <c r="M15">
        <v>1534626.26</v>
      </c>
      <c r="N15">
        <v>1021</v>
      </c>
      <c r="O15">
        <v>4760923</v>
      </c>
      <c r="P15">
        <v>3857787.49</v>
      </c>
      <c r="Q15">
        <v>0</v>
      </c>
      <c r="R15">
        <v>0</v>
      </c>
      <c r="S15">
        <v>0.089</v>
      </c>
      <c r="T15" t="s">
        <v>25</v>
      </c>
    </row>
    <row r="16" spans="1:20" ht="15">
      <c r="A16" t="s">
        <v>19</v>
      </c>
      <c r="B16" t="s">
        <v>20</v>
      </c>
      <c r="C16" t="str">
        <f t="shared" si="0"/>
        <v>31-Dec-21</v>
      </c>
      <c r="D16" t="s">
        <v>21</v>
      </c>
      <c r="E16" t="s">
        <v>22</v>
      </c>
      <c r="F16" t="str">
        <f>"BYQ8481"</f>
        <v>BYQ8481</v>
      </c>
      <c r="G16" t="s">
        <v>39</v>
      </c>
      <c r="I16" t="s">
        <v>24</v>
      </c>
      <c r="J16">
        <v>0.810302433</v>
      </c>
      <c r="K16">
        <v>11855</v>
      </c>
      <c r="L16">
        <v>2177408.59</v>
      </c>
      <c r="M16">
        <v>1721656.59</v>
      </c>
      <c r="N16">
        <v>164.1</v>
      </c>
      <c r="O16">
        <v>1945405.5</v>
      </c>
      <c r="P16">
        <v>1576366.81</v>
      </c>
      <c r="Q16">
        <v>0</v>
      </c>
      <c r="R16">
        <v>0</v>
      </c>
      <c r="S16">
        <v>0.036</v>
      </c>
      <c r="T16" t="s">
        <v>25</v>
      </c>
    </row>
    <row r="17" spans="1:20" ht="15">
      <c r="A17" t="s">
        <v>19</v>
      </c>
      <c r="B17" t="s">
        <v>20</v>
      </c>
      <c r="C17" t="str">
        <f t="shared" si="0"/>
        <v>31-Dec-21</v>
      </c>
      <c r="D17" t="s">
        <v>21</v>
      </c>
      <c r="E17" t="s">
        <v>22</v>
      </c>
      <c r="F17" t="str">
        <f>"B1WGG93"</f>
        <v>B1WGG93</v>
      </c>
      <c r="G17" t="s">
        <v>40</v>
      </c>
      <c r="I17" t="s">
        <v>24</v>
      </c>
      <c r="J17">
        <v>0.810302433</v>
      </c>
      <c r="K17">
        <v>22794</v>
      </c>
      <c r="L17">
        <v>8461922.74</v>
      </c>
      <c r="M17">
        <v>6071315.54</v>
      </c>
      <c r="N17">
        <v>745.2</v>
      </c>
      <c r="O17">
        <v>16986088.8</v>
      </c>
      <c r="P17">
        <v>13763869.08</v>
      </c>
      <c r="Q17">
        <v>0</v>
      </c>
      <c r="R17">
        <v>0</v>
      </c>
      <c r="S17">
        <v>0.318</v>
      </c>
      <c r="T17" t="s">
        <v>25</v>
      </c>
    </row>
    <row r="18" spans="1:20" ht="15">
      <c r="A18" t="s">
        <v>19</v>
      </c>
      <c r="B18" t="s">
        <v>20</v>
      </c>
      <c r="C18" t="str">
        <f t="shared" si="0"/>
        <v>31-Dec-21</v>
      </c>
      <c r="D18" t="s">
        <v>21</v>
      </c>
      <c r="E18" t="s">
        <v>22</v>
      </c>
      <c r="F18" t="str">
        <f>"4341783"</f>
        <v>4341783</v>
      </c>
      <c r="G18" t="s">
        <v>41</v>
      </c>
      <c r="I18" t="s">
        <v>24</v>
      </c>
      <c r="J18">
        <v>0.810302433</v>
      </c>
      <c r="K18">
        <v>2671</v>
      </c>
      <c r="L18">
        <v>3324354.34</v>
      </c>
      <c r="M18">
        <v>2519108.92</v>
      </c>
      <c r="N18">
        <v>1385</v>
      </c>
      <c r="O18">
        <v>3699335</v>
      </c>
      <c r="P18">
        <v>2997580.15</v>
      </c>
      <c r="Q18">
        <v>0</v>
      </c>
      <c r="R18">
        <v>0</v>
      </c>
      <c r="S18">
        <v>0.069</v>
      </c>
      <c r="T18" t="s">
        <v>25</v>
      </c>
    </row>
    <row r="19" spans="1:20" ht="15">
      <c r="A19" t="s">
        <v>19</v>
      </c>
      <c r="B19" t="s">
        <v>20</v>
      </c>
      <c r="C19" t="str">
        <f t="shared" si="0"/>
        <v>31-Dec-21</v>
      </c>
      <c r="D19" t="s">
        <v>21</v>
      </c>
      <c r="E19" t="s">
        <v>22</v>
      </c>
      <c r="F19" t="str">
        <f>"5980613"</f>
        <v>5980613</v>
      </c>
      <c r="G19" t="s">
        <v>42</v>
      </c>
      <c r="I19" t="s">
        <v>24</v>
      </c>
      <c r="J19">
        <v>0.810302433</v>
      </c>
      <c r="K19">
        <v>6116</v>
      </c>
      <c r="L19">
        <v>12484316.07</v>
      </c>
      <c r="M19">
        <v>9193104.55</v>
      </c>
      <c r="N19">
        <v>4792</v>
      </c>
      <c r="O19">
        <v>29307872</v>
      </c>
      <c r="P19">
        <v>23748239.99</v>
      </c>
      <c r="Q19">
        <v>0</v>
      </c>
      <c r="R19">
        <v>0</v>
      </c>
      <c r="S19">
        <v>0.549</v>
      </c>
      <c r="T19" t="s">
        <v>25</v>
      </c>
    </row>
    <row r="20" spans="1:20" ht="15">
      <c r="A20" t="s">
        <v>19</v>
      </c>
      <c r="B20" t="s">
        <v>20</v>
      </c>
      <c r="C20" t="str">
        <f t="shared" si="0"/>
        <v>31-Dec-21</v>
      </c>
      <c r="D20" t="s">
        <v>21</v>
      </c>
      <c r="E20" t="s">
        <v>22</v>
      </c>
      <c r="F20" t="str">
        <f>"BK6QWF0"</f>
        <v>BK6QWF0</v>
      </c>
      <c r="G20" t="s">
        <v>43</v>
      </c>
      <c r="I20" t="s">
        <v>24</v>
      </c>
      <c r="J20">
        <v>0.810302433</v>
      </c>
      <c r="K20">
        <v>23477</v>
      </c>
      <c r="L20">
        <v>2437725.98</v>
      </c>
      <c r="M20">
        <v>1774839.58</v>
      </c>
      <c r="N20">
        <v>107.4</v>
      </c>
      <c r="O20">
        <v>2521429.8</v>
      </c>
      <c r="P20">
        <v>2043120.7</v>
      </c>
      <c r="Q20">
        <v>0</v>
      </c>
      <c r="R20">
        <v>0</v>
      </c>
      <c r="S20">
        <v>0.047</v>
      </c>
      <c r="T20" t="s">
        <v>25</v>
      </c>
    </row>
    <row r="21" spans="1:20" ht="15">
      <c r="A21" t="s">
        <v>19</v>
      </c>
      <c r="B21" t="s">
        <v>20</v>
      </c>
      <c r="C21" t="str">
        <f t="shared" si="0"/>
        <v>31-Dec-21</v>
      </c>
      <c r="D21" t="s">
        <v>21</v>
      </c>
      <c r="E21" t="s">
        <v>22</v>
      </c>
      <c r="F21" t="str">
        <f>"7110753"</f>
        <v>7110753</v>
      </c>
      <c r="G21" t="s">
        <v>44</v>
      </c>
      <c r="I21" t="s">
        <v>24</v>
      </c>
      <c r="J21">
        <v>0.810302433</v>
      </c>
      <c r="K21">
        <v>350888</v>
      </c>
      <c r="L21">
        <v>16042955.45</v>
      </c>
      <c r="M21">
        <v>11660884.35</v>
      </c>
      <c r="N21">
        <v>46.51</v>
      </c>
      <c r="O21">
        <v>16319800.88</v>
      </c>
      <c r="P21">
        <v>13223974.36</v>
      </c>
      <c r="Q21">
        <v>0</v>
      </c>
      <c r="R21">
        <v>0</v>
      </c>
      <c r="S21">
        <v>0.306</v>
      </c>
      <c r="T21" t="s">
        <v>25</v>
      </c>
    </row>
    <row r="22" spans="1:20" ht="15">
      <c r="A22" t="s">
        <v>19</v>
      </c>
      <c r="B22" t="s">
        <v>20</v>
      </c>
      <c r="C22" t="str">
        <f t="shared" si="0"/>
        <v>31-Dec-21</v>
      </c>
      <c r="D22" t="s">
        <v>21</v>
      </c>
      <c r="E22" t="s">
        <v>22</v>
      </c>
      <c r="F22" t="str">
        <f>"B4R2R50"</f>
        <v>B4R2R50</v>
      </c>
      <c r="G22" t="s">
        <v>45</v>
      </c>
      <c r="I22" t="s">
        <v>24</v>
      </c>
      <c r="J22">
        <v>0.810302433</v>
      </c>
      <c r="K22">
        <v>143084</v>
      </c>
      <c r="L22">
        <v>6171019.3</v>
      </c>
      <c r="M22">
        <v>4497448.67</v>
      </c>
      <c r="N22">
        <v>61.18</v>
      </c>
      <c r="O22">
        <v>8753879.12</v>
      </c>
      <c r="P22">
        <v>7093289.55</v>
      </c>
      <c r="Q22">
        <v>0</v>
      </c>
      <c r="R22">
        <v>0</v>
      </c>
      <c r="S22">
        <v>0.164</v>
      </c>
      <c r="T22" t="s">
        <v>25</v>
      </c>
    </row>
    <row r="23" spans="1:20" ht="15">
      <c r="A23" t="s">
        <v>19</v>
      </c>
      <c r="B23" t="s">
        <v>20</v>
      </c>
      <c r="C23" t="str">
        <f t="shared" si="0"/>
        <v>31-Dec-21</v>
      </c>
      <c r="D23" t="s">
        <v>21</v>
      </c>
      <c r="E23" t="s">
        <v>22</v>
      </c>
      <c r="F23" t="str">
        <f>"B142S60"</f>
        <v>B142S60</v>
      </c>
      <c r="G23" t="s">
        <v>46</v>
      </c>
      <c r="I23" t="s">
        <v>24</v>
      </c>
      <c r="J23">
        <v>0.810302433</v>
      </c>
      <c r="K23">
        <v>32796</v>
      </c>
      <c r="L23">
        <v>4790694.65</v>
      </c>
      <c r="M23">
        <v>3464315.99</v>
      </c>
      <c r="N23">
        <v>294.4</v>
      </c>
      <c r="O23">
        <v>9655142.4</v>
      </c>
      <c r="P23">
        <v>7823585.38</v>
      </c>
      <c r="Q23">
        <v>0</v>
      </c>
      <c r="R23">
        <v>0</v>
      </c>
      <c r="S23">
        <v>0.181</v>
      </c>
      <c r="T23" t="s">
        <v>25</v>
      </c>
    </row>
    <row r="24" spans="1:20" ht="15">
      <c r="A24" t="s">
        <v>19</v>
      </c>
      <c r="B24" t="s">
        <v>20</v>
      </c>
      <c r="C24" t="str">
        <f t="shared" si="0"/>
        <v>31-Dec-21</v>
      </c>
      <c r="D24" t="s">
        <v>21</v>
      </c>
      <c r="E24" t="s">
        <v>22</v>
      </c>
      <c r="F24" t="str">
        <f>"B18ZRK2"</f>
        <v>B18ZRK2</v>
      </c>
      <c r="G24" t="s">
        <v>47</v>
      </c>
      <c r="I24" t="s">
        <v>24</v>
      </c>
      <c r="J24">
        <v>0.810302433</v>
      </c>
      <c r="K24">
        <v>98844</v>
      </c>
      <c r="L24">
        <v>3951289.11</v>
      </c>
      <c r="M24">
        <v>3094660.12</v>
      </c>
      <c r="N24">
        <v>76.88</v>
      </c>
      <c r="O24">
        <v>7599126.72</v>
      </c>
      <c r="P24">
        <v>6157590.87</v>
      </c>
      <c r="Q24">
        <v>0</v>
      </c>
      <c r="R24">
        <v>0</v>
      </c>
      <c r="S24">
        <v>0.142</v>
      </c>
      <c r="T24" t="s">
        <v>25</v>
      </c>
    </row>
    <row r="25" spans="1:20" ht="15">
      <c r="A25" t="s">
        <v>19</v>
      </c>
      <c r="B25" t="s">
        <v>20</v>
      </c>
      <c r="C25" t="str">
        <f t="shared" si="0"/>
        <v>31-Dec-21</v>
      </c>
      <c r="D25" t="s">
        <v>21</v>
      </c>
      <c r="E25" t="s">
        <v>22</v>
      </c>
      <c r="F25" t="str">
        <f>"7333378"</f>
        <v>7333378</v>
      </c>
      <c r="G25" t="s">
        <v>48</v>
      </c>
      <c r="I25" t="s">
        <v>24</v>
      </c>
      <c r="J25">
        <v>0.810302433</v>
      </c>
      <c r="K25">
        <v>47857</v>
      </c>
      <c r="L25">
        <v>9810435.99</v>
      </c>
      <c r="M25">
        <v>7527368.66</v>
      </c>
      <c r="N25">
        <v>761.6</v>
      </c>
      <c r="O25">
        <v>36447891.2</v>
      </c>
      <c r="P25">
        <v>29533814.92</v>
      </c>
      <c r="Q25">
        <v>0</v>
      </c>
      <c r="R25">
        <v>0</v>
      </c>
      <c r="S25">
        <v>0.683</v>
      </c>
      <c r="T25" t="s">
        <v>25</v>
      </c>
    </row>
    <row r="26" spans="1:20" ht="15">
      <c r="A26" t="s">
        <v>19</v>
      </c>
      <c r="B26" t="s">
        <v>20</v>
      </c>
      <c r="C26" t="str">
        <f t="shared" si="0"/>
        <v>31-Dec-21</v>
      </c>
      <c r="D26" t="s">
        <v>21</v>
      </c>
      <c r="E26" t="s">
        <v>22</v>
      </c>
      <c r="F26" t="str">
        <f>"BNZGVK0"</f>
        <v>BNZGVK0</v>
      </c>
      <c r="G26" t="s">
        <v>49</v>
      </c>
      <c r="I26" t="s">
        <v>24</v>
      </c>
      <c r="J26">
        <v>0.810302433</v>
      </c>
      <c r="K26">
        <v>10190</v>
      </c>
      <c r="L26">
        <v>314324.9</v>
      </c>
      <c r="M26">
        <v>229122.38</v>
      </c>
      <c r="N26">
        <v>45.16</v>
      </c>
      <c r="O26">
        <v>460180.4</v>
      </c>
      <c r="P26">
        <v>372885.3</v>
      </c>
      <c r="Q26">
        <v>0</v>
      </c>
      <c r="R26">
        <v>0</v>
      </c>
      <c r="S26">
        <v>0.009</v>
      </c>
      <c r="T26" t="s">
        <v>25</v>
      </c>
    </row>
    <row r="27" spans="1:20" ht="15">
      <c r="A27" t="s">
        <v>19</v>
      </c>
      <c r="B27" t="s">
        <v>20</v>
      </c>
      <c r="C27" t="str">
        <f t="shared" si="0"/>
        <v>31-Dec-21</v>
      </c>
      <c r="D27" t="s">
        <v>21</v>
      </c>
      <c r="E27" t="s">
        <v>22</v>
      </c>
      <c r="F27" t="str">
        <f>"7123870"</f>
        <v>7123870</v>
      </c>
      <c r="G27" t="s">
        <v>50</v>
      </c>
      <c r="I27" t="s">
        <v>24</v>
      </c>
      <c r="J27">
        <v>0.810302433</v>
      </c>
      <c r="K27">
        <v>1797563</v>
      </c>
      <c r="L27">
        <v>142833160.71</v>
      </c>
      <c r="M27">
        <v>104400754.95</v>
      </c>
      <c r="N27">
        <v>127.44</v>
      </c>
      <c r="O27">
        <v>229081428.72</v>
      </c>
      <c r="P27">
        <v>185625239.07</v>
      </c>
      <c r="Q27">
        <v>0</v>
      </c>
      <c r="R27">
        <v>0</v>
      </c>
      <c r="S27">
        <v>4.29</v>
      </c>
      <c r="T27" t="s">
        <v>25</v>
      </c>
    </row>
    <row r="28" spans="1:20" ht="15">
      <c r="A28" t="s">
        <v>19</v>
      </c>
      <c r="B28" t="s">
        <v>20</v>
      </c>
      <c r="C28" t="str">
        <f t="shared" si="0"/>
        <v>31-Dec-21</v>
      </c>
      <c r="D28" t="s">
        <v>21</v>
      </c>
      <c r="E28" t="s">
        <v>22</v>
      </c>
      <c r="F28" t="str">
        <f>"7103065"</f>
        <v>7103065</v>
      </c>
      <c r="G28" t="s">
        <v>51</v>
      </c>
      <c r="I28" t="s">
        <v>24</v>
      </c>
      <c r="J28">
        <v>0.810302433</v>
      </c>
      <c r="K28">
        <v>1352068</v>
      </c>
      <c r="L28">
        <v>107876453.21</v>
      </c>
      <c r="M28">
        <v>88181998.52</v>
      </c>
      <c r="N28">
        <v>80.28</v>
      </c>
      <c r="O28">
        <v>108544019.04</v>
      </c>
      <c r="P28">
        <v>87953482.73</v>
      </c>
      <c r="Q28">
        <v>0</v>
      </c>
      <c r="R28">
        <v>0</v>
      </c>
      <c r="S28">
        <v>2.033</v>
      </c>
      <c r="T28" t="s">
        <v>25</v>
      </c>
    </row>
    <row r="29" spans="1:20" ht="15">
      <c r="A29" t="s">
        <v>19</v>
      </c>
      <c r="B29" t="s">
        <v>20</v>
      </c>
      <c r="C29" t="str">
        <f t="shared" si="0"/>
        <v>31-Dec-21</v>
      </c>
      <c r="D29" t="s">
        <v>21</v>
      </c>
      <c r="E29" t="s">
        <v>22</v>
      </c>
      <c r="F29" t="str">
        <f>"4612757"</f>
        <v>4612757</v>
      </c>
      <c r="G29" t="s">
        <v>52</v>
      </c>
      <c r="I29" t="s">
        <v>24</v>
      </c>
      <c r="J29">
        <v>0.810302433</v>
      </c>
      <c r="K29">
        <v>128455</v>
      </c>
      <c r="L29">
        <v>2021942.73</v>
      </c>
      <c r="M29">
        <v>1518105.6</v>
      </c>
      <c r="N29">
        <v>9.365</v>
      </c>
      <c r="O29">
        <v>1202981.08</v>
      </c>
      <c r="P29">
        <v>974778.5</v>
      </c>
      <c r="Q29">
        <v>0</v>
      </c>
      <c r="R29">
        <v>0</v>
      </c>
      <c r="S29">
        <v>0.023</v>
      </c>
      <c r="T29" t="s">
        <v>25</v>
      </c>
    </row>
    <row r="30" spans="1:20" ht="15">
      <c r="A30" t="s">
        <v>19</v>
      </c>
      <c r="B30" t="s">
        <v>20</v>
      </c>
      <c r="C30" t="str">
        <f t="shared" si="0"/>
        <v>31-Dec-21</v>
      </c>
      <c r="D30" t="s">
        <v>21</v>
      </c>
      <c r="E30" t="s">
        <v>22</v>
      </c>
      <c r="F30" t="str">
        <f>"B012877"</f>
        <v>B012877</v>
      </c>
      <c r="G30" t="s">
        <v>53</v>
      </c>
      <c r="I30" t="s">
        <v>24</v>
      </c>
      <c r="J30">
        <v>0.810302433</v>
      </c>
      <c r="K30">
        <v>28429</v>
      </c>
      <c r="L30">
        <v>2641910.02</v>
      </c>
      <c r="M30">
        <v>1941360.36</v>
      </c>
      <c r="N30">
        <v>113.7</v>
      </c>
      <c r="O30">
        <v>3232377.3</v>
      </c>
      <c r="P30">
        <v>2619203.19</v>
      </c>
      <c r="Q30">
        <v>0</v>
      </c>
      <c r="R30">
        <v>0</v>
      </c>
      <c r="S30">
        <v>0.061</v>
      </c>
      <c r="T30" t="s">
        <v>25</v>
      </c>
    </row>
    <row r="31" spans="1:20" ht="15">
      <c r="A31" t="s">
        <v>19</v>
      </c>
      <c r="B31" t="s">
        <v>20</v>
      </c>
      <c r="C31" t="str">
        <f t="shared" si="0"/>
        <v>31-Dec-21</v>
      </c>
      <c r="D31" t="s">
        <v>21</v>
      </c>
      <c r="E31" t="s">
        <v>22</v>
      </c>
      <c r="F31" t="str">
        <f>"B119QG0"</f>
        <v>B119QG0</v>
      </c>
      <c r="G31" t="s">
        <v>54</v>
      </c>
      <c r="I31" t="s">
        <v>24</v>
      </c>
      <c r="J31">
        <v>0.810302433</v>
      </c>
      <c r="K31">
        <v>14468</v>
      </c>
      <c r="L31">
        <v>8871393.5</v>
      </c>
      <c r="M31">
        <v>6980644.7</v>
      </c>
      <c r="N31">
        <v>1512.5</v>
      </c>
      <c r="O31">
        <v>21882850</v>
      </c>
      <c r="P31">
        <v>17731726.6</v>
      </c>
      <c r="Q31">
        <v>0</v>
      </c>
      <c r="R31">
        <v>0</v>
      </c>
      <c r="S31">
        <v>0.41</v>
      </c>
      <c r="T31" t="s">
        <v>25</v>
      </c>
    </row>
    <row r="32" spans="1:20" ht="15">
      <c r="A32" t="s">
        <v>19</v>
      </c>
      <c r="B32" t="s">
        <v>20</v>
      </c>
      <c r="C32" t="str">
        <f t="shared" si="0"/>
        <v>31-Dec-21</v>
      </c>
      <c r="D32" t="s">
        <v>21</v>
      </c>
      <c r="E32" t="s">
        <v>22</v>
      </c>
      <c r="F32" t="str">
        <f>"7110388"</f>
        <v>7110388</v>
      </c>
      <c r="G32" t="s">
        <v>55</v>
      </c>
      <c r="I32" t="s">
        <v>24</v>
      </c>
      <c r="J32">
        <v>0.810302433</v>
      </c>
      <c r="K32">
        <v>453578</v>
      </c>
      <c r="L32">
        <v>123534186.16</v>
      </c>
      <c r="M32">
        <v>90012188.16</v>
      </c>
      <c r="N32">
        <v>379.1</v>
      </c>
      <c r="O32">
        <v>171951419.8</v>
      </c>
      <c r="P32">
        <v>139332653.84</v>
      </c>
      <c r="Q32">
        <v>0</v>
      </c>
      <c r="R32">
        <v>0</v>
      </c>
      <c r="S32">
        <v>3.22</v>
      </c>
      <c r="T32" t="s">
        <v>25</v>
      </c>
    </row>
    <row r="33" spans="1:20" ht="15">
      <c r="A33" t="s">
        <v>19</v>
      </c>
      <c r="B33" t="s">
        <v>20</v>
      </c>
      <c r="C33" t="str">
        <f t="shared" si="0"/>
        <v>31-Dec-21</v>
      </c>
      <c r="D33" t="s">
        <v>21</v>
      </c>
      <c r="E33" t="s">
        <v>22</v>
      </c>
      <c r="F33" t="str">
        <f>"7108918"</f>
        <v>7108918</v>
      </c>
      <c r="G33" t="s">
        <v>56</v>
      </c>
      <c r="I33" t="s">
        <v>24</v>
      </c>
      <c r="J33">
        <v>0.810302433</v>
      </c>
      <c r="K33">
        <v>17900</v>
      </c>
      <c r="L33">
        <v>6826774.55</v>
      </c>
      <c r="M33">
        <v>5348784.72</v>
      </c>
      <c r="N33">
        <v>408.8</v>
      </c>
      <c r="O33">
        <v>7317520</v>
      </c>
      <c r="P33">
        <v>5929404.26</v>
      </c>
      <c r="Q33">
        <v>0</v>
      </c>
      <c r="R33">
        <v>0</v>
      </c>
      <c r="S33">
        <v>0.137</v>
      </c>
      <c r="T33" t="s">
        <v>25</v>
      </c>
    </row>
    <row r="34" spans="1:20" ht="15">
      <c r="A34" t="s">
        <v>19</v>
      </c>
      <c r="B34" t="s">
        <v>20</v>
      </c>
      <c r="C34" t="str">
        <f t="shared" si="0"/>
        <v>31-Dec-21</v>
      </c>
      <c r="D34" t="s">
        <v>21</v>
      </c>
      <c r="E34" t="s">
        <v>22</v>
      </c>
      <c r="F34" t="str">
        <f>"4824778"</f>
        <v>4824778</v>
      </c>
      <c r="G34" t="s">
        <v>57</v>
      </c>
      <c r="I34" t="s">
        <v>24</v>
      </c>
      <c r="J34">
        <v>0.810302433</v>
      </c>
      <c r="K34">
        <v>3922</v>
      </c>
      <c r="L34">
        <v>8162534.33</v>
      </c>
      <c r="M34">
        <v>6038492.44</v>
      </c>
      <c r="N34">
        <v>3047</v>
      </c>
      <c r="O34">
        <v>11950334</v>
      </c>
      <c r="P34">
        <v>9683384.72</v>
      </c>
      <c r="Q34">
        <v>0</v>
      </c>
      <c r="R34">
        <v>0</v>
      </c>
      <c r="S34">
        <v>0.224</v>
      </c>
      <c r="T34" t="s">
        <v>25</v>
      </c>
    </row>
    <row r="35" spans="1:20" ht="15">
      <c r="A35" t="s">
        <v>19</v>
      </c>
      <c r="B35" t="s">
        <v>20</v>
      </c>
      <c r="C35" t="str">
        <f t="shared" si="0"/>
        <v>31-Dec-21</v>
      </c>
      <c r="D35" t="s">
        <v>21</v>
      </c>
      <c r="E35" t="s">
        <v>22</v>
      </c>
      <c r="F35" t="str">
        <f>"BD5GN60"</f>
        <v>BD5GN60</v>
      </c>
      <c r="G35" t="s">
        <v>58</v>
      </c>
      <c r="I35" t="s">
        <v>24</v>
      </c>
      <c r="J35">
        <v>0.810302433</v>
      </c>
      <c r="K35">
        <v>220079</v>
      </c>
      <c r="L35">
        <v>3951428.72</v>
      </c>
      <c r="M35">
        <v>3296549.59</v>
      </c>
      <c r="N35">
        <v>25.46</v>
      </c>
      <c r="O35">
        <v>5603211.34</v>
      </c>
      <c r="P35">
        <v>4540295.78</v>
      </c>
      <c r="Q35">
        <v>0</v>
      </c>
      <c r="R35">
        <v>0</v>
      </c>
      <c r="S35">
        <v>0.105</v>
      </c>
      <c r="T35" t="s">
        <v>25</v>
      </c>
    </row>
    <row r="36" spans="1:20" ht="15">
      <c r="A36" t="s">
        <v>19</v>
      </c>
      <c r="B36" t="s">
        <v>20</v>
      </c>
      <c r="C36" t="str">
        <f t="shared" si="0"/>
        <v>31-Dec-21</v>
      </c>
      <c r="D36" t="s">
        <v>21</v>
      </c>
      <c r="E36" t="s">
        <v>22</v>
      </c>
      <c r="F36" t="str">
        <f>"B11WWH2"</f>
        <v>B11WWH2</v>
      </c>
      <c r="G36" t="s">
        <v>59</v>
      </c>
      <c r="I36" t="s">
        <v>24</v>
      </c>
      <c r="J36">
        <v>0.810302433</v>
      </c>
      <c r="K36">
        <v>12415</v>
      </c>
      <c r="L36">
        <v>2110774.21</v>
      </c>
      <c r="M36">
        <v>1516426.39</v>
      </c>
      <c r="N36">
        <v>244.4</v>
      </c>
      <c r="O36">
        <v>3034226</v>
      </c>
      <c r="P36">
        <v>2458640.71</v>
      </c>
      <c r="Q36">
        <v>0</v>
      </c>
      <c r="R36">
        <v>0</v>
      </c>
      <c r="S36">
        <v>0.057</v>
      </c>
      <c r="T36" t="s">
        <v>25</v>
      </c>
    </row>
    <row r="37" spans="1:20" ht="15">
      <c r="A37" t="s">
        <v>19</v>
      </c>
      <c r="B37" t="s">
        <v>20</v>
      </c>
      <c r="C37" t="str">
        <f t="shared" si="0"/>
        <v>31-Dec-21</v>
      </c>
      <c r="D37" t="s">
        <v>21</v>
      </c>
      <c r="E37" t="s">
        <v>22</v>
      </c>
      <c r="F37" t="str">
        <f>"B11TCY0"</f>
        <v>B11TCY0</v>
      </c>
      <c r="G37" t="s">
        <v>59</v>
      </c>
      <c r="I37" t="s">
        <v>24</v>
      </c>
      <c r="J37">
        <v>0.810302433</v>
      </c>
      <c r="K37">
        <v>26609</v>
      </c>
      <c r="L37">
        <v>4849639.55</v>
      </c>
      <c r="M37">
        <v>3561816.81</v>
      </c>
      <c r="N37">
        <v>245.5</v>
      </c>
      <c r="O37">
        <v>6532509.5</v>
      </c>
      <c r="P37">
        <v>5293308.34</v>
      </c>
      <c r="Q37">
        <v>0</v>
      </c>
      <c r="R37">
        <v>0</v>
      </c>
      <c r="S37">
        <v>0.122</v>
      </c>
      <c r="T37" t="s">
        <v>25</v>
      </c>
    </row>
    <row r="38" spans="1:20" ht="15">
      <c r="A38" t="s">
        <v>19</v>
      </c>
      <c r="B38" t="s">
        <v>20</v>
      </c>
      <c r="C38" t="str">
        <f t="shared" si="0"/>
        <v>31-Dec-21</v>
      </c>
      <c r="D38" t="s">
        <v>21</v>
      </c>
      <c r="E38" t="s">
        <v>22</v>
      </c>
      <c r="F38" t="str">
        <f>"BF2DSG3"</f>
        <v>BF2DSG3</v>
      </c>
      <c r="G38" t="s">
        <v>60</v>
      </c>
      <c r="I38" t="s">
        <v>24</v>
      </c>
      <c r="J38">
        <v>0.810302433</v>
      </c>
      <c r="K38">
        <v>93847</v>
      </c>
      <c r="L38">
        <v>9207489.93</v>
      </c>
      <c r="M38">
        <v>7015633.18</v>
      </c>
      <c r="N38">
        <v>380.2</v>
      </c>
      <c r="O38">
        <v>35680629.4</v>
      </c>
      <c r="P38">
        <v>28912100.82</v>
      </c>
      <c r="Q38">
        <v>0</v>
      </c>
      <c r="R38">
        <v>0</v>
      </c>
      <c r="S38">
        <v>0.668</v>
      </c>
      <c r="T38" t="s">
        <v>25</v>
      </c>
    </row>
    <row r="39" spans="1:20" ht="15">
      <c r="A39" t="s">
        <v>19</v>
      </c>
      <c r="B39" t="s">
        <v>20</v>
      </c>
      <c r="C39" t="str">
        <f t="shared" si="0"/>
        <v>31-Dec-21</v>
      </c>
      <c r="D39" t="s">
        <v>21</v>
      </c>
      <c r="E39" t="s">
        <v>22</v>
      </c>
      <c r="F39" t="str">
        <f>"7156036"</f>
        <v>7156036</v>
      </c>
      <c r="G39" t="s">
        <v>61</v>
      </c>
      <c r="I39" t="s">
        <v>24</v>
      </c>
      <c r="J39">
        <v>0.810302433</v>
      </c>
      <c r="K39">
        <v>34793</v>
      </c>
      <c r="L39">
        <v>5282502.62</v>
      </c>
      <c r="M39">
        <v>3879853.85</v>
      </c>
      <c r="N39">
        <v>357.8</v>
      </c>
      <c r="O39">
        <v>12448935.4</v>
      </c>
      <c r="P39">
        <v>10087402.64</v>
      </c>
      <c r="Q39">
        <v>0</v>
      </c>
      <c r="R39">
        <v>0</v>
      </c>
      <c r="S39">
        <v>0.233</v>
      </c>
      <c r="T39" t="s">
        <v>25</v>
      </c>
    </row>
    <row r="40" spans="1:20" ht="15">
      <c r="A40" t="s">
        <v>19</v>
      </c>
      <c r="B40" t="s">
        <v>20</v>
      </c>
      <c r="C40" t="str">
        <f t="shared" si="0"/>
        <v>31-Dec-21</v>
      </c>
      <c r="D40" t="s">
        <v>21</v>
      </c>
      <c r="E40" t="s">
        <v>22</v>
      </c>
      <c r="F40" t="str">
        <f>"7156832"</f>
        <v>7156832</v>
      </c>
      <c r="G40" t="s">
        <v>62</v>
      </c>
      <c r="I40" t="s">
        <v>24</v>
      </c>
      <c r="J40">
        <v>0.810302433</v>
      </c>
      <c r="K40">
        <v>6591</v>
      </c>
      <c r="L40">
        <v>3136597.08</v>
      </c>
      <c r="M40">
        <v>2393808.15</v>
      </c>
      <c r="N40">
        <v>1937</v>
      </c>
      <c r="O40">
        <v>12766767</v>
      </c>
      <c r="P40">
        <v>10344942.36</v>
      </c>
      <c r="Q40">
        <v>0</v>
      </c>
      <c r="R40">
        <v>0</v>
      </c>
      <c r="S40">
        <v>0.239</v>
      </c>
      <c r="T40" t="s">
        <v>25</v>
      </c>
    </row>
    <row r="41" spans="1:20" ht="15">
      <c r="A41" t="s">
        <v>19</v>
      </c>
      <c r="B41" t="s">
        <v>20</v>
      </c>
      <c r="C41" t="str">
        <f t="shared" si="0"/>
        <v>31-Dec-21</v>
      </c>
      <c r="D41" t="s">
        <v>21</v>
      </c>
      <c r="E41" t="s">
        <v>22</v>
      </c>
      <c r="F41" t="str">
        <f>"4854719"</f>
        <v>4854719</v>
      </c>
      <c r="G41" t="s">
        <v>63</v>
      </c>
      <c r="I41" t="s">
        <v>24</v>
      </c>
      <c r="J41">
        <v>0.810302433</v>
      </c>
      <c r="K41">
        <v>10190</v>
      </c>
      <c r="L41">
        <v>646396.86</v>
      </c>
      <c r="M41">
        <v>471181.21</v>
      </c>
      <c r="N41">
        <v>89.85</v>
      </c>
      <c r="O41">
        <v>915571.5</v>
      </c>
      <c r="P41">
        <v>741889.81</v>
      </c>
      <c r="Q41">
        <v>0</v>
      </c>
      <c r="R41">
        <v>0</v>
      </c>
      <c r="S41">
        <v>0.017</v>
      </c>
      <c r="T41" t="s">
        <v>25</v>
      </c>
    </row>
    <row r="42" spans="1:20" ht="15">
      <c r="A42" t="s">
        <v>19</v>
      </c>
      <c r="B42" t="s">
        <v>20</v>
      </c>
      <c r="C42" t="str">
        <f t="shared" si="0"/>
        <v>31-Dec-21</v>
      </c>
      <c r="D42" t="s">
        <v>21</v>
      </c>
      <c r="E42" t="s">
        <v>22</v>
      </c>
      <c r="F42" t="str">
        <f>"7184736"</f>
        <v>7184736</v>
      </c>
      <c r="G42" t="s">
        <v>64</v>
      </c>
      <c r="I42" t="s">
        <v>24</v>
      </c>
      <c r="J42">
        <v>0.810302433</v>
      </c>
      <c r="K42">
        <v>29977</v>
      </c>
      <c r="L42">
        <v>2278773.62</v>
      </c>
      <c r="M42">
        <v>1580895.01</v>
      </c>
      <c r="N42">
        <v>53.45</v>
      </c>
      <c r="O42">
        <v>1602270.65</v>
      </c>
      <c r="P42">
        <v>1298323.81</v>
      </c>
      <c r="Q42">
        <v>0</v>
      </c>
      <c r="R42">
        <v>0</v>
      </c>
      <c r="S42">
        <v>0.03</v>
      </c>
      <c r="T42" t="s">
        <v>25</v>
      </c>
    </row>
    <row r="43" spans="1:20" ht="15">
      <c r="A43" t="s">
        <v>19</v>
      </c>
      <c r="B43" t="s">
        <v>20</v>
      </c>
      <c r="C43" t="str">
        <f t="shared" si="0"/>
        <v>31-Dec-21</v>
      </c>
      <c r="D43" t="s">
        <v>21</v>
      </c>
      <c r="E43" t="s">
        <v>22</v>
      </c>
      <c r="F43" t="str">
        <f>"7184725"</f>
        <v>7184725</v>
      </c>
      <c r="G43" t="s">
        <v>65</v>
      </c>
      <c r="I43" t="s">
        <v>24</v>
      </c>
      <c r="J43">
        <v>0.810302433</v>
      </c>
      <c r="K43">
        <v>18298</v>
      </c>
      <c r="L43">
        <v>7263993.1</v>
      </c>
      <c r="M43">
        <v>5127440.52</v>
      </c>
      <c r="N43">
        <v>279</v>
      </c>
      <c r="O43">
        <v>5105142</v>
      </c>
      <c r="P43">
        <v>4136708.98</v>
      </c>
      <c r="Q43">
        <v>0</v>
      </c>
      <c r="R43">
        <v>0</v>
      </c>
      <c r="S43">
        <v>0.096</v>
      </c>
      <c r="T43" t="s">
        <v>25</v>
      </c>
    </row>
    <row r="44" spans="1:20" ht="15">
      <c r="A44" t="s">
        <v>19</v>
      </c>
      <c r="B44" t="s">
        <v>20</v>
      </c>
      <c r="C44" t="str">
        <f t="shared" si="0"/>
        <v>31-Dec-21</v>
      </c>
      <c r="D44" t="s">
        <v>21</v>
      </c>
      <c r="E44" t="s">
        <v>22</v>
      </c>
      <c r="F44" t="str">
        <f>"7437805"</f>
        <v>7437805</v>
      </c>
      <c r="G44" t="s">
        <v>66</v>
      </c>
      <c r="I44" t="s">
        <v>24</v>
      </c>
      <c r="J44">
        <v>0.810302433</v>
      </c>
      <c r="K44">
        <v>20409</v>
      </c>
      <c r="L44">
        <v>4618089.67</v>
      </c>
      <c r="M44">
        <v>3361883.85</v>
      </c>
      <c r="N44">
        <v>559</v>
      </c>
      <c r="O44">
        <v>11408631</v>
      </c>
      <c r="P44">
        <v>9244441.46</v>
      </c>
      <c r="Q44">
        <v>0</v>
      </c>
      <c r="R44">
        <v>0</v>
      </c>
      <c r="S44">
        <v>0.214</v>
      </c>
      <c r="T44" t="s">
        <v>25</v>
      </c>
    </row>
    <row r="45" spans="1:20" ht="15">
      <c r="A45" t="s">
        <v>19</v>
      </c>
      <c r="B45" t="s">
        <v>20</v>
      </c>
      <c r="C45" t="str">
        <f t="shared" si="0"/>
        <v>31-Dec-21</v>
      </c>
      <c r="D45" t="s">
        <v>21</v>
      </c>
      <c r="E45" t="s">
        <v>22</v>
      </c>
      <c r="F45" t="str">
        <f>"B083BH4"</f>
        <v>B083BH4</v>
      </c>
      <c r="G45" t="s">
        <v>67</v>
      </c>
      <c r="I45" t="s">
        <v>24</v>
      </c>
      <c r="J45">
        <v>0.810302433</v>
      </c>
      <c r="K45">
        <v>49510</v>
      </c>
      <c r="L45">
        <v>3692793.08</v>
      </c>
      <c r="M45">
        <v>2712853.07</v>
      </c>
      <c r="N45">
        <v>89.65</v>
      </c>
      <c r="O45">
        <v>4438571.5</v>
      </c>
      <c r="P45">
        <v>3596585.29</v>
      </c>
      <c r="Q45">
        <v>0</v>
      </c>
      <c r="R45">
        <v>0</v>
      </c>
      <c r="S45">
        <v>0.083</v>
      </c>
      <c r="T45" t="s">
        <v>25</v>
      </c>
    </row>
    <row r="46" spans="1:20" ht="15">
      <c r="A46" t="s">
        <v>19</v>
      </c>
      <c r="B46" t="s">
        <v>20</v>
      </c>
      <c r="C46" t="str">
        <f t="shared" si="0"/>
        <v>31-Dec-21</v>
      </c>
      <c r="D46" t="s">
        <v>21</v>
      </c>
      <c r="E46" t="s">
        <v>22</v>
      </c>
      <c r="F46" t="str">
        <f>"B545MG5"</f>
        <v>B545MG5</v>
      </c>
      <c r="G46" t="s">
        <v>68</v>
      </c>
      <c r="I46" t="s">
        <v>24</v>
      </c>
      <c r="J46">
        <v>0.810302433</v>
      </c>
      <c r="K46">
        <v>192718</v>
      </c>
      <c r="L46">
        <v>16249111.81</v>
      </c>
      <c r="M46">
        <v>11767792.82</v>
      </c>
      <c r="N46">
        <v>90.26</v>
      </c>
      <c r="O46">
        <v>17394726.68</v>
      </c>
      <c r="P46">
        <v>14094989.35</v>
      </c>
      <c r="Q46">
        <v>0</v>
      </c>
      <c r="R46">
        <v>0</v>
      </c>
      <c r="S46">
        <v>0.326</v>
      </c>
      <c r="T46" t="s">
        <v>25</v>
      </c>
    </row>
    <row r="47" spans="1:20" ht="15">
      <c r="A47" t="s">
        <v>19</v>
      </c>
      <c r="B47" t="s">
        <v>20</v>
      </c>
      <c r="C47" t="str">
        <f t="shared" si="0"/>
        <v>31-Dec-21</v>
      </c>
      <c r="D47" t="s">
        <v>21</v>
      </c>
      <c r="E47" t="s">
        <v>22</v>
      </c>
      <c r="F47" t="str">
        <f>"5533976"</f>
        <v>5533976</v>
      </c>
      <c r="G47" t="s">
        <v>69</v>
      </c>
      <c r="I47" t="s">
        <v>24</v>
      </c>
      <c r="J47">
        <v>0.810302433</v>
      </c>
      <c r="K47">
        <v>16947</v>
      </c>
      <c r="L47">
        <v>8744610.44</v>
      </c>
      <c r="M47">
        <v>6306204.07</v>
      </c>
      <c r="N47">
        <v>514.6</v>
      </c>
      <c r="O47">
        <v>8720926.2</v>
      </c>
      <c r="P47">
        <v>7066587.72</v>
      </c>
      <c r="Q47">
        <v>0</v>
      </c>
      <c r="R47">
        <v>0</v>
      </c>
      <c r="S47">
        <v>0.163</v>
      </c>
      <c r="T47" t="s">
        <v>25</v>
      </c>
    </row>
    <row r="48" spans="1:20" ht="15">
      <c r="A48" t="s">
        <v>19</v>
      </c>
      <c r="B48" t="s">
        <v>20</v>
      </c>
      <c r="C48" t="str">
        <f t="shared" si="0"/>
        <v>31-Dec-21</v>
      </c>
      <c r="D48" t="s">
        <v>21</v>
      </c>
      <c r="E48" t="s">
        <v>22</v>
      </c>
      <c r="F48" t="str">
        <f>"7110902"</f>
        <v>7110902</v>
      </c>
      <c r="G48" t="s">
        <v>70</v>
      </c>
      <c r="I48" t="s">
        <v>24</v>
      </c>
      <c r="J48">
        <v>0.810302433</v>
      </c>
      <c r="K48">
        <v>8292</v>
      </c>
      <c r="L48">
        <v>3341049.03</v>
      </c>
      <c r="M48">
        <v>2597258.39</v>
      </c>
      <c r="N48">
        <v>555.5</v>
      </c>
      <c r="O48">
        <v>4606206</v>
      </c>
      <c r="P48">
        <v>3732419.93</v>
      </c>
      <c r="Q48">
        <v>0</v>
      </c>
      <c r="R48">
        <v>0</v>
      </c>
      <c r="S48">
        <v>0.086</v>
      </c>
      <c r="T48" t="s">
        <v>25</v>
      </c>
    </row>
    <row r="49" spans="1:20" ht="15">
      <c r="A49" t="s">
        <v>19</v>
      </c>
      <c r="B49" t="s">
        <v>20</v>
      </c>
      <c r="C49" t="str">
        <f t="shared" si="0"/>
        <v>31-Dec-21</v>
      </c>
      <c r="D49" t="s">
        <v>21</v>
      </c>
      <c r="E49" t="s">
        <v>22</v>
      </c>
      <c r="F49" t="str">
        <f>"7147892"</f>
        <v>7147892</v>
      </c>
      <c r="G49" t="s">
        <v>71</v>
      </c>
      <c r="I49" t="s">
        <v>24</v>
      </c>
      <c r="J49">
        <v>0.810302433</v>
      </c>
      <c r="K49">
        <v>41896</v>
      </c>
      <c r="L49">
        <v>4009448.81</v>
      </c>
      <c r="M49">
        <v>3210592.72</v>
      </c>
      <c r="N49">
        <v>126.05</v>
      </c>
      <c r="O49">
        <v>5280990.8</v>
      </c>
      <c r="P49">
        <v>4279199.69</v>
      </c>
      <c r="Q49">
        <v>0</v>
      </c>
      <c r="R49">
        <v>0</v>
      </c>
      <c r="S49">
        <v>0.099</v>
      </c>
      <c r="T49" t="s">
        <v>25</v>
      </c>
    </row>
    <row r="50" spans="1:20" ht="15">
      <c r="A50" t="s">
        <v>19</v>
      </c>
      <c r="B50" t="s">
        <v>20</v>
      </c>
      <c r="C50" t="str">
        <f t="shared" si="0"/>
        <v>31-Dec-21</v>
      </c>
      <c r="D50" t="s">
        <v>21</v>
      </c>
      <c r="E50" t="s">
        <v>22</v>
      </c>
      <c r="F50" t="str">
        <f>"BRJL176"</f>
        <v>BRJL176</v>
      </c>
      <c r="G50" t="s">
        <v>72</v>
      </c>
      <c r="I50" t="s">
        <v>24</v>
      </c>
      <c r="J50">
        <v>0.810302433</v>
      </c>
      <c r="K50">
        <v>2110986</v>
      </c>
      <c r="L50">
        <v>30676803.36</v>
      </c>
      <c r="M50">
        <v>21756161.36</v>
      </c>
      <c r="N50">
        <v>16.42</v>
      </c>
      <c r="O50">
        <v>34662390.12</v>
      </c>
      <c r="P50">
        <v>28087019.05</v>
      </c>
      <c r="Q50">
        <v>0</v>
      </c>
      <c r="R50">
        <v>0</v>
      </c>
      <c r="S50">
        <v>0.649</v>
      </c>
      <c r="T50" t="s">
        <v>25</v>
      </c>
    </row>
    <row r="51" spans="1:20" ht="15">
      <c r="A51" t="s">
        <v>19</v>
      </c>
      <c r="B51" t="s">
        <v>20</v>
      </c>
      <c r="C51" t="str">
        <f t="shared" si="0"/>
        <v>31-Dec-21</v>
      </c>
      <c r="D51" t="s">
        <v>21</v>
      </c>
      <c r="E51" t="s">
        <v>22</v>
      </c>
      <c r="F51" t="str">
        <f>"BYZWMR9"</f>
        <v>BYZWMR9</v>
      </c>
      <c r="G51" t="s">
        <v>73</v>
      </c>
      <c r="I51" t="s">
        <v>24</v>
      </c>
      <c r="J51">
        <v>0.810302433</v>
      </c>
      <c r="K51">
        <v>16911</v>
      </c>
      <c r="L51">
        <v>3028646.38</v>
      </c>
      <c r="M51">
        <v>2541133.11</v>
      </c>
      <c r="N51">
        <v>454.4</v>
      </c>
      <c r="O51">
        <v>7684358.4</v>
      </c>
      <c r="P51">
        <v>6226654.31</v>
      </c>
      <c r="Q51">
        <v>0</v>
      </c>
      <c r="R51">
        <v>0</v>
      </c>
      <c r="S51">
        <v>0.144</v>
      </c>
      <c r="T51" t="s">
        <v>25</v>
      </c>
    </row>
    <row r="52" spans="1:20" ht="15">
      <c r="A52" t="s">
        <v>19</v>
      </c>
      <c r="B52" t="s">
        <v>20</v>
      </c>
      <c r="C52" t="str">
        <f t="shared" si="0"/>
        <v>31-Dec-21</v>
      </c>
      <c r="D52" t="s">
        <v>21</v>
      </c>
      <c r="E52" t="s">
        <v>22</v>
      </c>
      <c r="F52" t="str">
        <f>"BZ12TW4"</f>
        <v>BZ12TW4</v>
      </c>
      <c r="G52" t="s">
        <v>74</v>
      </c>
      <c r="I52" t="s">
        <v>24</v>
      </c>
      <c r="J52">
        <v>0.810302433</v>
      </c>
      <c r="K52">
        <v>33051</v>
      </c>
      <c r="L52">
        <v>3599812.53</v>
      </c>
      <c r="M52">
        <v>2672894.08</v>
      </c>
      <c r="N52">
        <v>162.25</v>
      </c>
      <c r="O52">
        <v>5362524.75</v>
      </c>
      <c r="P52">
        <v>4345266.85</v>
      </c>
      <c r="Q52">
        <v>0</v>
      </c>
      <c r="R52">
        <v>0</v>
      </c>
      <c r="S52">
        <v>0.1</v>
      </c>
      <c r="T52" t="s">
        <v>25</v>
      </c>
    </row>
    <row r="53" spans="1:20" ht="15">
      <c r="A53" t="s">
        <v>19</v>
      </c>
      <c r="B53" t="s">
        <v>20</v>
      </c>
      <c r="C53" t="str">
        <f t="shared" si="0"/>
        <v>31-Dec-21</v>
      </c>
      <c r="D53" t="s">
        <v>21</v>
      </c>
      <c r="E53" t="s">
        <v>22</v>
      </c>
      <c r="F53" t="str">
        <f>"5983816"</f>
        <v>5983816</v>
      </c>
      <c r="G53" t="s">
        <v>75</v>
      </c>
      <c r="I53" t="s">
        <v>24</v>
      </c>
      <c r="J53">
        <v>0.810302433</v>
      </c>
      <c r="K53">
        <v>96541</v>
      </c>
      <c r="L53">
        <v>26608174.1</v>
      </c>
      <c r="M53">
        <v>19360502.4</v>
      </c>
      <c r="N53">
        <v>400.4</v>
      </c>
      <c r="O53">
        <v>38655016.4</v>
      </c>
      <c r="P53">
        <v>31322253.84</v>
      </c>
      <c r="Q53">
        <v>0</v>
      </c>
      <c r="R53">
        <v>0</v>
      </c>
      <c r="S53">
        <v>0.724</v>
      </c>
      <c r="T53" t="s">
        <v>25</v>
      </c>
    </row>
    <row r="54" spans="1:20" ht="15">
      <c r="A54" t="s">
        <v>19</v>
      </c>
      <c r="B54" t="s">
        <v>20</v>
      </c>
      <c r="C54" t="str">
        <f t="shared" si="0"/>
        <v>31-Dec-21</v>
      </c>
      <c r="D54" t="s">
        <v>21</v>
      </c>
      <c r="E54" t="s">
        <v>22</v>
      </c>
      <c r="F54" t="str">
        <f>"BPF0548"</f>
        <v>BPF0548</v>
      </c>
      <c r="G54" t="s">
        <v>76</v>
      </c>
      <c r="I54" t="s">
        <v>24</v>
      </c>
      <c r="J54">
        <v>0.810302433</v>
      </c>
      <c r="K54">
        <v>162338</v>
      </c>
      <c r="L54">
        <v>3074451.18</v>
      </c>
      <c r="M54">
        <v>2383075.92</v>
      </c>
      <c r="N54">
        <v>16.595</v>
      </c>
      <c r="O54">
        <v>2693999.11</v>
      </c>
      <c r="P54">
        <v>2182954.03</v>
      </c>
      <c r="Q54">
        <v>0</v>
      </c>
      <c r="R54">
        <v>0</v>
      </c>
      <c r="S54">
        <v>0.05</v>
      </c>
      <c r="T54" t="s">
        <v>25</v>
      </c>
    </row>
    <row r="55" spans="1:19" ht="15">
      <c r="A55" t="s">
        <v>19</v>
      </c>
      <c r="B55" t="s">
        <v>20</v>
      </c>
      <c r="C55" t="str">
        <f t="shared" si="0"/>
        <v>31-Dec-21</v>
      </c>
      <c r="D55" t="s">
        <v>21</v>
      </c>
      <c r="E55" t="s">
        <v>77</v>
      </c>
      <c r="F55" t="str">
        <f>"FSMIH2"</f>
        <v>FSMIH2</v>
      </c>
      <c r="G55" t="s">
        <v>78</v>
      </c>
      <c r="I55" t="s">
        <v>24</v>
      </c>
      <c r="J55">
        <v>0.810302433</v>
      </c>
      <c r="K55">
        <v>2</v>
      </c>
      <c r="L55">
        <v>249925.78</v>
      </c>
      <c r="M55">
        <v>204960.84</v>
      </c>
      <c r="N55">
        <v>12798</v>
      </c>
      <c r="O55">
        <v>255960</v>
      </c>
      <c r="P55">
        <v>207405.01</v>
      </c>
      <c r="Q55">
        <v>0</v>
      </c>
      <c r="R55">
        <v>0</v>
      </c>
      <c r="S55">
        <v>0</v>
      </c>
    </row>
    <row r="56" spans="1:20" ht="15">
      <c r="A56" t="s">
        <v>19</v>
      </c>
      <c r="B56" t="s">
        <v>20</v>
      </c>
      <c r="C56" t="str">
        <f t="shared" si="0"/>
        <v>31-Dec-21</v>
      </c>
      <c r="D56" t="s">
        <v>21</v>
      </c>
      <c r="E56" t="s">
        <v>79</v>
      </c>
      <c r="I56" t="s">
        <v>24</v>
      </c>
      <c r="J56">
        <v>0.810302433</v>
      </c>
      <c r="K56">
        <v>0</v>
      </c>
      <c r="L56">
        <v>344788.24</v>
      </c>
      <c r="M56">
        <v>283102.51</v>
      </c>
      <c r="N56">
        <v>0</v>
      </c>
      <c r="O56">
        <v>344788.24</v>
      </c>
      <c r="P56">
        <v>279382.75</v>
      </c>
      <c r="Q56">
        <v>0</v>
      </c>
      <c r="R56">
        <v>0</v>
      </c>
      <c r="S56">
        <v>0.006</v>
      </c>
      <c r="T56" t="s">
        <v>80</v>
      </c>
    </row>
    <row r="57" spans="1:20" ht="15">
      <c r="A57" t="s">
        <v>19</v>
      </c>
      <c r="B57" t="s">
        <v>20</v>
      </c>
      <c r="C57" t="str">
        <f t="shared" si="0"/>
        <v>31-Dec-21</v>
      </c>
      <c r="D57" t="s">
        <v>21</v>
      </c>
      <c r="E57" t="s">
        <v>22</v>
      </c>
      <c r="F57" t="str">
        <f>"4253059"</f>
        <v>4253059</v>
      </c>
      <c r="G57" t="s">
        <v>81</v>
      </c>
      <c r="I57" t="s">
        <v>82</v>
      </c>
      <c r="J57">
        <v>0.112886673</v>
      </c>
      <c r="K57">
        <v>2753</v>
      </c>
      <c r="L57">
        <v>28453885.56</v>
      </c>
      <c r="M57">
        <v>2825688.72</v>
      </c>
      <c r="N57">
        <v>21780</v>
      </c>
      <c r="O57">
        <v>59960340</v>
      </c>
      <c r="P57">
        <v>6768723.28</v>
      </c>
      <c r="Q57">
        <v>0</v>
      </c>
      <c r="R57">
        <v>0</v>
      </c>
      <c r="S57">
        <v>0.156</v>
      </c>
      <c r="T57" t="s">
        <v>25</v>
      </c>
    </row>
    <row r="58" spans="1:20" ht="15">
      <c r="A58" t="s">
        <v>19</v>
      </c>
      <c r="B58" t="s">
        <v>20</v>
      </c>
      <c r="C58" t="str">
        <f t="shared" si="0"/>
        <v>31-Dec-21</v>
      </c>
      <c r="D58" t="s">
        <v>21</v>
      </c>
      <c r="E58" t="s">
        <v>22</v>
      </c>
      <c r="F58" t="str">
        <f>"4253048"</f>
        <v>4253048</v>
      </c>
      <c r="G58" t="s">
        <v>81</v>
      </c>
      <c r="I58" t="s">
        <v>82</v>
      </c>
      <c r="J58">
        <v>0.112886673</v>
      </c>
      <c r="K58">
        <v>3453</v>
      </c>
      <c r="L58">
        <v>36148540.79</v>
      </c>
      <c r="M58">
        <v>3763062.68</v>
      </c>
      <c r="N58">
        <v>23450</v>
      </c>
      <c r="O58">
        <v>80972850</v>
      </c>
      <c r="P58">
        <v>9140755.63</v>
      </c>
      <c r="Q58">
        <v>0</v>
      </c>
      <c r="R58">
        <v>0</v>
      </c>
      <c r="S58">
        <v>0.211</v>
      </c>
      <c r="T58" t="s">
        <v>25</v>
      </c>
    </row>
    <row r="59" spans="1:20" ht="15">
      <c r="A59" t="s">
        <v>19</v>
      </c>
      <c r="B59" t="s">
        <v>20</v>
      </c>
      <c r="C59" t="str">
        <f t="shared" si="0"/>
        <v>31-Dec-21</v>
      </c>
      <c r="D59" t="s">
        <v>21</v>
      </c>
      <c r="E59" t="s">
        <v>22</v>
      </c>
      <c r="F59" t="str">
        <f>"BD9G333"</f>
        <v>BD9G333</v>
      </c>
      <c r="G59" t="s">
        <v>83</v>
      </c>
      <c r="I59" t="s">
        <v>82</v>
      </c>
      <c r="J59">
        <v>0.112886673</v>
      </c>
      <c r="K59">
        <v>108411</v>
      </c>
      <c r="L59">
        <v>19214503.01</v>
      </c>
      <c r="M59">
        <v>2281903.67</v>
      </c>
      <c r="N59">
        <v>173</v>
      </c>
      <c r="O59">
        <v>18755103</v>
      </c>
      <c r="P59">
        <v>2117201.18</v>
      </c>
      <c r="Q59">
        <v>0</v>
      </c>
      <c r="R59">
        <v>0</v>
      </c>
      <c r="S59">
        <v>0.049</v>
      </c>
      <c r="T59" t="s">
        <v>25</v>
      </c>
    </row>
    <row r="60" spans="1:20" ht="15">
      <c r="A60" t="s">
        <v>19</v>
      </c>
      <c r="B60" t="s">
        <v>20</v>
      </c>
      <c r="C60" t="str">
        <f t="shared" si="0"/>
        <v>31-Dec-21</v>
      </c>
      <c r="D60" t="s">
        <v>21</v>
      </c>
      <c r="E60" t="s">
        <v>22</v>
      </c>
      <c r="F60" t="str">
        <f>"4169219"</f>
        <v>4169219</v>
      </c>
      <c r="G60" t="s">
        <v>84</v>
      </c>
      <c r="I60" t="s">
        <v>82</v>
      </c>
      <c r="J60">
        <v>0.112886673</v>
      </c>
      <c r="K60">
        <v>64154</v>
      </c>
      <c r="L60">
        <v>42084486.36</v>
      </c>
      <c r="M60">
        <v>4410205.04</v>
      </c>
      <c r="N60">
        <v>1129.5</v>
      </c>
      <c r="O60">
        <v>72461943</v>
      </c>
      <c r="P60">
        <v>8179987.65</v>
      </c>
      <c r="Q60">
        <v>0</v>
      </c>
      <c r="R60">
        <v>0</v>
      </c>
      <c r="S60">
        <v>0.189</v>
      </c>
      <c r="T60" t="s">
        <v>25</v>
      </c>
    </row>
    <row r="61" spans="1:20" ht="15">
      <c r="A61" t="s">
        <v>19</v>
      </c>
      <c r="B61" t="s">
        <v>20</v>
      </c>
      <c r="C61" t="str">
        <f t="shared" si="0"/>
        <v>31-Dec-21</v>
      </c>
      <c r="D61" t="s">
        <v>21</v>
      </c>
      <c r="E61" t="s">
        <v>22</v>
      </c>
      <c r="F61" t="str">
        <f>"B573M11"</f>
        <v>B573M11</v>
      </c>
      <c r="G61" t="s">
        <v>85</v>
      </c>
      <c r="I61" t="s">
        <v>82</v>
      </c>
      <c r="J61">
        <v>0.112886673</v>
      </c>
      <c r="K61">
        <v>67429</v>
      </c>
      <c r="L61">
        <v>30010354.05</v>
      </c>
      <c r="M61">
        <v>3275170.81</v>
      </c>
      <c r="N61">
        <v>515.4</v>
      </c>
      <c r="O61">
        <v>34752906.6</v>
      </c>
      <c r="P61">
        <v>3923140</v>
      </c>
      <c r="Q61">
        <v>0</v>
      </c>
      <c r="R61">
        <v>0</v>
      </c>
      <c r="S61">
        <v>0.091</v>
      </c>
      <c r="T61" t="s">
        <v>25</v>
      </c>
    </row>
    <row r="62" spans="1:20" ht="15">
      <c r="A62" t="s">
        <v>19</v>
      </c>
      <c r="B62" t="s">
        <v>20</v>
      </c>
      <c r="C62" t="str">
        <f t="shared" si="0"/>
        <v>31-Dec-21</v>
      </c>
      <c r="D62" t="s">
        <v>21</v>
      </c>
      <c r="E62" t="s">
        <v>22</v>
      </c>
      <c r="F62" t="str">
        <f>"B8FMRX8"</f>
        <v>B8FMRX8</v>
      </c>
      <c r="G62" t="s">
        <v>86</v>
      </c>
      <c r="I62" t="s">
        <v>82</v>
      </c>
      <c r="J62">
        <v>0.112886673</v>
      </c>
      <c r="K62">
        <v>88831</v>
      </c>
      <c r="L62">
        <v>54925711.94</v>
      </c>
      <c r="M62">
        <v>5965033.2</v>
      </c>
      <c r="N62">
        <v>1151</v>
      </c>
      <c r="O62">
        <v>102244481</v>
      </c>
      <c r="P62">
        <v>11542039.27</v>
      </c>
      <c r="Q62">
        <v>0</v>
      </c>
      <c r="R62">
        <v>0</v>
      </c>
      <c r="S62">
        <v>0.267</v>
      </c>
      <c r="T62" t="s">
        <v>25</v>
      </c>
    </row>
    <row r="63" spans="1:20" ht="15">
      <c r="A63" t="s">
        <v>19</v>
      </c>
      <c r="B63" t="s">
        <v>20</v>
      </c>
      <c r="C63" t="str">
        <f t="shared" si="0"/>
        <v>31-Dec-21</v>
      </c>
      <c r="D63" t="s">
        <v>21</v>
      </c>
      <c r="E63" t="s">
        <v>22</v>
      </c>
      <c r="F63" t="str">
        <f>"B1WT5G2"</f>
        <v>B1WT5G2</v>
      </c>
      <c r="G63" t="s">
        <v>87</v>
      </c>
      <c r="I63" t="s">
        <v>82</v>
      </c>
      <c r="J63">
        <v>0.112886673</v>
      </c>
      <c r="K63">
        <v>124798</v>
      </c>
      <c r="L63">
        <v>50476941.52</v>
      </c>
      <c r="M63">
        <v>5652853.4</v>
      </c>
      <c r="N63">
        <v>1527.5</v>
      </c>
      <c r="O63">
        <v>190628945</v>
      </c>
      <c r="P63">
        <v>21519467.34</v>
      </c>
      <c r="Q63">
        <v>0</v>
      </c>
      <c r="R63">
        <v>0</v>
      </c>
      <c r="S63">
        <v>0.497</v>
      </c>
      <c r="T63" t="s">
        <v>25</v>
      </c>
    </row>
    <row r="64" spans="1:20" ht="15">
      <c r="A64" t="s">
        <v>19</v>
      </c>
      <c r="B64" t="s">
        <v>20</v>
      </c>
      <c r="C64" t="str">
        <f t="shared" si="0"/>
        <v>31-Dec-21</v>
      </c>
      <c r="D64" t="s">
        <v>21</v>
      </c>
      <c r="E64" t="s">
        <v>22</v>
      </c>
      <c r="F64" t="str">
        <f>"BZ01RF1"</f>
        <v>BZ01RF1</v>
      </c>
      <c r="G64" t="s">
        <v>88</v>
      </c>
      <c r="I64" t="s">
        <v>82</v>
      </c>
      <c r="J64">
        <v>0.112886673</v>
      </c>
      <c r="K64">
        <v>68736</v>
      </c>
      <c r="L64">
        <v>8594661.23</v>
      </c>
      <c r="M64">
        <v>882660.62</v>
      </c>
      <c r="N64">
        <v>335.1</v>
      </c>
      <c r="O64">
        <v>23033433.6</v>
      </c>
      <c r="P64">
        <v>2600167.68</v>
      </c>
      <c r="Q64">
        <v>0</v>
      </c>
      <c r="R64">
        <v>0</v>
      </c>
      <c r="S64">
        <v>0.06</v>
      </c>
      <c r="T64" t="s">
        <v>25</v>
      </c>
    </row>
    <row r="65" spans="1:20" ht="15">
      <c r="A65" t="s">
        <v>19</v>
      </c>
      <c r="B65" t="s">
        <v>20</v>
      </c>
      <c r="C65" t="str">
        <f t="shared" si="0"/>
        <v>31-Dec-21</v>
      </c>
      <c r="D65" t="s">
        <v>21</v>
      </c>
      <c r="E65" t="s">
        <v>22</v>
      </c>
      <c r="F65" t="str">
        <f>"4501093"</f>
        <v>4501093</v>
      </c>
      <c r="G65" t="s">
        <v>89</v>
      </c>
      <c r="I65" t="s">
        <v>82</v>
      </c>
      <c r="J65">
        <v>0.112886673</v>
      </c>
      <c r="K65">
        <v>84447</v>
      </c>
      <c r="L65">
        <v>27355664.02</v>
      </c>
      <c r="M65">
        <v>3264712.83</v>
      </c>
      <c r="N65">
        <v>411.3</v>
      </c>
      <c r="O65">
        <v>34733051.1</v>
      </c>
      <c r="P65">
        <v>3920898.58</v>
      </c>
      <c r="Q65">
        <v>0</v>
      </c>
      <c r="R65">
        <v>0</v>
      </c>
      <c r="S65">
        <v>0.091</v>
      </c>
      <c r="T65" t="s">
        <v>25</v>
      </c>
    </row>
    <row r="66" spans="1:20" ht="15">
      <c r="A66" t="s">
        <v>19</v>
      </c>
      <c r="B66" t="s">
        <v>20</v>
      </c>
      <c r="C66" t="str">
        <f aca="true" t="shared" si="1" ref="C66:C129">"31-Dec-21"</f>
        <v>31-Dec-21</v>
      </c>
      <c r="D66" t="s">
        <v>21</v>
      </c>
      <c r="E66" t="s">
        <v>22</v>
      </c>
      <c r="F66" t="str">
        <f>"4595739"</f>
        <v>4595739</v>
      </c>
      <c r="G66" t="s">
        <v>90</v>
      </c>
      <c r="I66" t="s">
        <v>82</v>
      </c>
      <c r="J66">
        <v>0.112886673</v>
      </c>
      <c r="K66">
        <v>39554</v>
      </c>
      <c r="L66">
        <v>39963691.51</v>
      </c>
      <c r="M66">
        <v>4392491.81</v>
      </c>
      <c r="N66">
        <v>2630</v>
      </c>
      <c r="O66">
        <v>104027020</v>
      </c>
      <c r="P66">
        <v>11743264.17</v>
      </c>
      <c r="Q66">
        <v>0</v>
      </c>
      <c r="R66">
        <v>0</v>
      </c>
      <c r="S66">
        <v>0.271</v>
      </c>
      <c r="T66" t="s">
        <v>25</v>
      </c>
    </row>
    <row r="67" spans="1:20" ht="15">
      <c r="A67" t="s">
        <v>19</v>
      </c>
      <c r="B67" t="s">
        <v>20</v>
      </c>
      <c r="C67" t="str">
        <f t="shared" si="1"/>
        <v>31-Dec-21</v>
      </c>
      <c r="D67" t="s">
        <v>21</v>
      </c>
      <c r="E67" t="s">
        <v>22</v>
      </c>
      <c r="F67" t="str">
        <f>"7085259"</f>
        <v>7085259</v>
      </c>
      <c r="G67" t="s">
        <v>91</v>
      </c>
      <c r="I67" t="s">
        <v>82</v>
      </c>
      <c r="J67">
        <v>0.112886673</v>
      </c>
      <c r="K67">
        <v>36782</v>
      </c>
      <c r="L67">
        <v>7423606.54</v>
      </c>
      <c r="M67">
        <v>797017.15</v>
      </c>
      <c r="N67">
        <v>168.85</v>
      </c>
      <c r="O67">
        <v>6210640.7</v>
      </c>
      <c r="P67">
        <v>701098.56</v>
      </c>
      <c r="Q67">
        <v>0</v>
      </c>
      <c r="R67">
        <v>0</v>
      </c>
      <c r="S67">
        <v>0.016</v>
      </c>
      <c r="T67" t="s">
        <v>25</v>
      </c>
    </row>
    <row r="68" spans="1:20" ht="15">
      <c r="A68" t="s">
        <v>19</v>
      </c>
      <c r="B68" t="s">
        <v>20</v>
      </c>
      <c r="C68" t="str">
        <f t="shared" si="1"/>
        <v>31-Dec-21</v>
      </c>
      <c r="D68" t="s">
        <v>21</v>
      </c>
      <c r="E68" t="s">
        <v>22</v>
      </c>
      <c r="F68" t="str">
        <f>"BHC8X90"</f>
        <v>BHC8X90</v>
      </c>
      <c r="G68" t="s">
        <v>92</v>
      </c>
      <c r="I68" t="s">
        <v>82</v>
      </c>
      <c r="J68">
        <v>0.112886673</v>
      </c>
      <c r="K68">
        <v>1036770</v>
      </c>
      <c r="L68">
        <v>386957084.99</v>
      </c>
      <c r="M68">
        <v>40163143.45</v>
      </c>
      <c r="N68">
        <v>735</v>
      </c>
      <c r="O68">
        <v>762025950</v>
      </c>
      <c r="P68">
        <v>86022574.1</v>
      </c>
      <c r="Q68">
        <v>0</v>
      </c>
      <c r="R68">
        <v>0</v>
      </c>
      <c r="S68">
        <v>1.988</v>
      </c>
      <c r="T68" t="s">
        <v>25</v>
      </c>
    </row>
    <row r="69" spans="1:20" ht="15">
      <c r="A69" t="s">
        <v>19</v>
      </c>
      <c r="B69" t="s">
        <v>20</v>
      </c>
      <c r="C69" t="str">
        <f t="shared" si="1"/>
        <v>31-Dec-21</v>
      </c>
      <c r="D69" t="s">
        <v>21</v>
      </c>
      <c r="E69" t="s">
        <v>22</v>
      </c>
      <c r="F69" t="str">
        <f>"B798FW0"</f>
        <v>B798FW0</v>
      </c>
      <c r="G69" t="s">
        <v>93</v>
      </c>
      <c r="I69" t="s">
        <v>82</v>
      </c>
      <c r="J69">
        <v>0.112886673</v>
      </c>
      <c r="K69">
        <v>124968</v>
      </c>
      <c r="L69">
        <v>39705003.27</v>
      </c>
      <c r="M69">
        <v>4050867.61</v>
      </c>
      <c r="N69">
        <v>537.2</v>
      </c>
      <c r="O69">
        <v>67132809.6</v>
      </c>
      <c r="P69">
        <v>7578399.51</v>
      </c>
      <c r="Q69">
        <v>0</v>
      </c>
      <c r="R69">
        <v>0</v>
      </c>
      <c r="S69">
        <v>0.175</v>
      </c>
      <c r="T69" t="s">
        <v>25</v>
      </c>
    </row>
    <row r="70" spans="1:20" ht="15">
      <c r="A70" t="s">
        <v>19</v>
      </c>
      <c r="B70" t="s">
        <v>20</v>
      </c>
      <c r="C70" t="str">
        <f t="shared" si="1"/>
        <v>31-Dec-21</v>
      </c>
      <c r="D70" t="s">
        <v>21</v>
      </c>
      <c r="E70" t="s">
        <v>22</v>
      </c>
      <c r="F70" t="str">
        <f>"BYT16L4"</f>
        <v>BYT16L4</v>
      </c>
      <c r="G70" t="s">
        <v>94</v>
      </c>
      <c r="I70" t="s">
        <v>82</v>
      </c>
      <c r="J70">
        <v>0.112886673</v>
      </c>
      <c r="K70">
        <v>125994</v>
      </c>
      <c r="L70">
        <v>55029128.12</v>
      </c>
      <c r="M70">
        <v>6305023.41</v>
      </c>
      <c r="N70">
        <v>835.2</v>
      </c>
      <c r="O70">
        <v>105230188.8</v>
      </c>
      <c r="P70">
        <v>11879085.89</v>
      </c>
      <c r="Q70">
        <v>0</v>
      </c>
      <c r="R70">
        <v>0</v>
      </c>
      <c r="S70">
        <v>0.275</v>
      </c>
      <c r="T70" t="s">
        <v>25</v>
      </c>
    </row>
    <row r="71" spans="1:20" ht="15">
      <c r="A71" t="s">
        <v>19</v>
      </c>
      <c r="B71" t="s">
        <v>20</v>
      </c>
      <c r="C71" t="str">
        <f t="shared" si="1"/>
        <v>31-Dec-21</v>
      </c>
      <c r="D71" t="s">
        <v>21</v>
      </c>
      <c r="E71" t="s">
        <v>22</v>
      </c>
      <c r="F71" t="str">
        <f>"B44XTX8"</f>
        <v>B44XTX8</v>
      </c>
      <c r="G71" t="s">
        <v>95</v>
      </c>
      <c r="I71" t="s">
        <v>82</v>
      </c>
      <c r="J71">
        <v>0.112886673</v>
      </c>
      <c r="K71">
        <v>62887</v>
      </c>
      <c r="L71">
        <v>38922209.51</v>
      </c>
      <c r="M71">
        <v>4009641.46</v>
      </c>
      <c r="N71">
        <v>815.4</v>
      </c>
      <c r="O71">
        <v>51278059.8</v>
      </c>
      <c r="P71">
        <v>5788609.56</v>
      </c>
      <c r="Q71">
        <v>0</v>
      </c>
      <c r="R71">
        <v>0</v>
      </c>
      <c r="S71">
        <v>0.134</v>
      </c>
      <c r="T71" t="s">
        <v>25</v>
      </c>
    </row>
    <row r="72" spans="1:20" ht="15">
      <c r="A72" t="s">
        <v>19</v>
      </c>
      <c r="B72" t="s">
        <v>20</v>
      </c>
      <c r="C72" t="str">
        <f t="shared" si="1"/>
        <v>31-Dec-21</v>
      </c>
      <c r="D72" t="s">
        <v>21</v>
      </c>
      <c r="E72" t="s">
        <v>22</v>
      </c>
      <c r="F72" t="str">
        <f>"4713490"</f>
        <v>4713490</v>
      </c>
      <c r="G72" t="s">
        <v>96</v>
      </c>
      <c r="I72" t="s">
        <v>82</v>
      </c>
      <c r="J72">
        <v>0.112886673</v>
      </c>
      <c r="K72">
        <v>4457</v>
      </c>
      <c r="L72">
        <v>8172695.93</v>
      </c>
      <c r="M72">
        <v>966323</v>
      </c>
      <c r="N72">
        <v>2860</v>
      </c>
      <c r="O72">
        <v>12747020</v>
      </c>
      <c r="P72">
        <v>1438968.68</v>
      </c>
      <c r="Q72">
        <v>0</v>
      </c>
      <c r="R72">
        <v>0</v>
      </c>
      <c r="S72">
        <v>0.033</v>
      </c>
      <c r="T72" t="s">
        <v>25</v>
      </c>
    </row>
    <row r="73" spans="1:20" ht="15">
      <c r="A73" t="s">
        <v>19</v>
      </c>
      <c r="B73" t="s">
        <v>20</v>
      </c>
      <c r="C73" t="str">
        <f t="shared" si="1"/>
        <v>31-Dec-21</v>
      </c>
      <c r="D73" t="s">
        <v>21</v>
      </c>
      <c r="E73" t="s">
        <v>22</v>
      </c>
      <c r="F73" t="str">
        <f>"BX8ZX20"</f>
        <v>BX8ZX20</v>
      </c>
      <c r="G73" t="s">
        <v>97</v>
      </c>
      <c r="I73" t="s">
        <v>82</v>
      </c>
      <c r="J73">
        <v>0.112886673</v>
      </c>
      <c r="K73">
        <v>31773</v>
      </c>
      <c r="L73">
        <v>24558907.4</v>
      </c>
      <c r="M73">
        <v>2822434.4</v>
      </c>
      <c r="N73">
        <v>737.2</v>
      </c>
      <c r="O73">
        <v>23423055.6</v>
      </c>
      <c r="P73">
        <v>2644150.81</v>
      </c>
      <c r="Q73">
        <v>0</v>
      </c>
      <c r="R73">
        <v>0</v>
      </c>
      <c r="S73">
        <v>0.061</v>
      </c>
      <c r="T73" t="s">
        <v>25</v>
      </c>
    </row>
    <row r="74" spans="1:20" ht="15">
      <c r="A74" t="s">
        <v>19</v>
      </c>
      <c r="B74" t="s">
        <v>20</v>
      </c>
      <c r="C74" t="str">
        <f t="shared" si="1"/>
        <v>31-Dec-21</v>
      </c>
      <c r="D74" t="s">
        <v>21</v>
      </c>
      <c r="E74" t="s">
        <v>22</v>
      </c>
      <c r="F74" t="str">
        <f>"BBCR9N1"</f>
        <v>BBCR9N1</v>
      </c>
      <c r="G74" t="s">
        <v>98</v>
      </c>
      <c r="I74" t="s">
        <v>82</v>
      </c>
      <c r="J74">
        <v>0.112886673</v>
      </c>
      <c r="K74">
        <v>25358</v>
      </c>
      <c r="L74">
        <v>19741144.15</v>
      </c>
      <c r="M74">
        <v>2279364.72</v>
      </c>
      <c r="N74">
        <v>714.8</v>
      </c>
      <c r="O74">
        <v>18125898.4</v>
      </c>
      <c r="P74">
        <v>2046172.36</v>
      </c>
      <c r="Q74">
        <v>0</v>
      </c>
      <c r="R74">
        <v>0</v>
      </c>
      <c r="S74">
        <v>0.047</v>
      </c>
      <c r="T74" t="s">
        <v>25</v>
      </c>
    </row>
    <row r="75" spans="1:20" ht="15">
      <c r="A75" t="s">
        <v>19</v>
      </c>
      <c r="B75" t="s">
        <v>20</v>
      </c>
      <c r="C75" t="str">
        <f t="shared" si="1"/>
        <v>31-Dec-21</v>
      </c>
      <c r="D75" t="s">
        <v>21</v>
      </c>
      <c r="E75" t="s">
        <v>22</v>
      </c>
      <c r="F75" t="str">
        <f>"BXDZ972"</f>
        <v>BXDZ972</v>
      </c>
      <c r="G75" t="s">
        <v>99</v>
      </c>
      <c r="I75" t="s">
        <v>82</v>
      </c>
      <c r="J75">
        <v>0.112886673</v>
      </c>
      <c r="K75">
        <v>201185</v>
      </c>
      <c r="L75">
        <v>25879811.16</v>
      </c>
      <c r="M75">
        <v>2915296.2</v>
      </c>
      <c r="N75">
        <v>161.5</v>
      </c>
      <c r="O75">
        <v>32491377.5</v>
      </c>
      <c r="P75">
        <v>3667843.5</v>
      </c>
      <c r="Q75">
        <v>0</v>
      </c>
      <c r="R75">
        <v>0</v>
      </c>
      <c r="S75">
        <v>0.085</v>
      </c>
      <c r="T75" t="s">
        <v>25</v>
      </c>
    </row>
    <row r="76" spans="1:20" ht="15">
      <c r="A76" t="s">
        <v>19</v>
      </c>
      <c r="B76" t="s">
        <v>20</v>
      </c>
      <c r="C76" t="str">
        <f t="shared" si="1"/>
        <v>31-Dec-21</v>
      </c>
      <c r="D76" t="s">
        <v>21</v>
      </c>
      <c r="E76" t="s">
        <v>22</v>
      </c>
      <c r="F76" t="str">
        <f>"BN4MYF5"</f>
        <v>BN4MYF5</v>
      </c>
      <c r="G76" t="s">
        <v>100</v>
      </c>
      <c r="I76" t="s">
        <v>82</v>
      </c>
      <c r="J76">
        <v>0.112886673</v>
      </c>
      <c r="K76">
        <v>670144</v>
      </c>
      <c r="L76">
        <v>60507674.52</v>
      </c>
      <c r="M76">
        <v>6605636.13</v>
      </c>
      <c r="N76">
        <v>200</v>
      </c>
      <c r="O76">
        <v>134028800</v>
      </c>
      <c r="P76">
        <v>15130065.29</v>
      </c>
      <c r="Q76">
        <v>0</v>
      </c>
      <c r="R76">
        <v>0</v>
      </c>
      <c r="S76">
        <v>0.35</v>
      </c>
      <c r="T76" t="s">
        <v>25</v>
      </c>
    </row>
    <row r="77" spans="1:20" ht="15">
      <c r="A77" t="s">
        <v>19</v>
      </c>
      <c r="B77" t="s">
        <v>20</v>
      </c>
      <c r="C77" t="str">
        <f t="shared" si="1"/>
        <v>31-Dec-21</v>
      </c>
      <c r="D77" t="s">
        <v>21</v>
      </c>
      <c r="E77" t="s">
        <v>79</v>
      </c>
      <c r="I77" t="s">
        <v>82</v>
      </c>
      <c r="J77">
        <v>0.112886673</v>
      </c>
      <c r="K77">
        <v>0</v>
      </c>
      <c r="L77">
        <v>1860230.98</v>
      </c>
      <c r="M77">
        <v>212517.35</v>
      </c>
      <c r="N77">
        <v>0</v>
      </c>
      <c r="O77">
        <v>1860230.98</v>
      </c>
      <c r="P77">
        <v>209995.29</v>
      </c>
      <c r="Q77">
        <v>0</v>
      </c>
      <c r="R77">
        <v>0</v>
      </c>
      <c r="S77">
        <v>0.005</v>
      </c>
      <c r="T77" t="s">
        <v>101</v>
      </c>
    </row>
    <row r="78" spans="1:20" ht="15">
      <c r="A78" t="s">
        <v>19</v>
      </c>
      <c r="B78" t="s">
        <v>20</v>
      </c>
      <c r="C78" t="str">
        <f t="shared" si="1"/>
        <v>31-Dec-21</v>
      </c>
      <c r="D78" t="s">
        <v>21</v>
      </c>
      <c r="E78" t="s">
        <v>22</v>
      </c>
      <c r="F78" t="str">
        <f>"5734672"</f>
        <v>5734672</v>
      </c>
      <c r="G78" t="s">
        <v>102</v>
      </c>
      <c r="I78" t="s">
        <v>103</v>
      </c>
      <c r="J78">
        <v>0.839602791</v>
      </c>
      <c r="K78">
        <v>31991</v>
      </c>
      <c r="L78">
        <v>1704057.83</v>
      </c>
      <c r="M78">
        <v>1500340.84</v>
      </c>
      <c r="N78">
        <v>24.02</v>
      </c>
      <c r="O78">
        <v>768423.82</v>
      </c>
      <c r="P78">
        <v>645170.78</v>
      </c>
      <c r="Q78">
        <v>0</v>
      </c>
      <c r="R78">
        <v>0</v>
      </c>
      <c r="S78">
        <v>0.015</v>
      </c>
      <c r="T78" t="s">
        <v>25</v>
      </c>
    </row>
    <row r="79" spans="1:20" ht="15">
      <c r="A79" t="s">
        <v>19</v>
      </c>
      <c r="B79" t="s">
        <v>20</v>
      </c>
      <c r="C79" t="str">
        <f t="shared" si="1"/>
        <v>31-Dec-21</v>
      </c>
      <c r="D79" t="s">
        <v>21</v>
      </c>
      <c r="E79" t="s">
        <v>22</v>
      </c>
      <c r="F79" t="str">
        <f>"5499131"</f>
        <v>5499131</v>
      </c>
      <c r="G79" t="s">
        <v>104</v>
      </c>
      <c r="I79" t="s">
        <v>103</v>
      </c>
      <c r="J79">
        <v>0.839602791</v>
      </c>
      <c r="K79">
        <v>988332</v>
      </c>
      <c r="L79">
        <v>1502479.52</v>
      </c>
      <c r="M79">
        <v>1334894.39</v>
      </c>
      <c r="N79">
        <v>1.72</v>
      </c>
      <c r="O79">
        <v>1699931.04</v>
      </c>
      <c r="P79">
        <v>1427266.85</v>
      </c>
      <c r="Q79">
        <v>0</v>
      </c>
      <c r="R79">
        <v>0</v>
      </c>
      <c r="S79">
        <v>0.033</v>
      </c>
      <c r="T79" t="s">
        <v>25</v>
      </c>
    </row>
    <row r="80" spans="1:20" ht="15">
      <c r="A80" t="s">
        <v>19</v>
      </c>
      <c r="B80" t="s">
        <v>20</v>
      </c>
      <c r="C80" t="str">
        <f t="shared" si="1"/>
        <v>31-Dec-21</v>
      </c>
      <c r="D80" t="s">
        <v>21</v>
      </c>
      <c r="E80" t="s">
        <v>22</v>
      </c>
      <c r="F80" t="str">
        <f>"BYQP136"</f>
        <v>BYQP136</v>
      </c>
      <c r="G80" t="s">
        <v>105</v>
      </c>
      <c r="I80" t="s">
        <v>103</v>
      </c>
      <c r="J80">
        <v>0.839602791</v>
      </c>
      <c r="K80">
        <v>260941</v>
      </c>
      <c r="L80">
        <v>5336603.22</v>
      </c>
      <c r="M80">
        <v>4344953.97</v>
      </c>
      <c r="N80">
        <v>12.916</v>
      </c>
      <c r="O80">
        <v>3370313.96</v>
      </c>
      <c r="P80">
        <v>2829725.01</v>
      </c>
      <c r="Q80">
        <v>0</v>
      </c>
      <c r="R80">
        <v>0</v>
      </c>
      <c r="S80">
        <v>0.065</v>
      </c>
      <c r="T80" t="s">
        <v>25</v>
      </c>
    </row>
    <row r="81" spans="1:20" ht="15">
      <c r="A81" t="s">
        <v>19</v>
      </c>
      <c r="B81" t="s">
        <v>20</v>
      </c>
      <c r="C81" t="str">
        <f t="shared" si="1"/>
        <v>31-Dec-21</v>
      </c>
      <c r="D81" t="s">
        <v>21</v>
      </c>
      <c r="E81" t="s">
        <v>22</v>
      </c>
      <c r="F81" t="str">
        <f>"B01FLQ6"</f>
        <v>B01FLQ6</v>
      </c>
      <c r="G81" t="s">
        <v>106</v>
      </c>
      <c r="I81" t="s">
        <v>103</v>
      </c>
      <c r="J81">
        <v>0.839602791</v>
      </c>
      <c r="K81">
        <v>151301</v>
      </c>
      <c r="L81">
        <v>3532072.9</v>
      </c>
      <c r="M81">
        <v>2877477.47</v>
      </c>
      <c r="N81">
        <v>23.57</v>
      </c>
      <c r="O81">
        <v>3566164.57</v>
      </c>
      <c r="P81">
        <v>2994161.73</v>
      </c>
      <c r="Q81">
        <v>0</v>
      </c>
      <c r="R81">
        <v>0</v>
      </c>
      <c r="S81">
        <v>0.069</v>
      </c>
      <c r="T81" t="s">
        <v>25</v>
      </c>
    </row>
    <row r="82" spans="1:20" ht="15">
      <c r="A82" t="s">
        <v>19</v>
      </c>
      <c r="B82" t="s">
        <v>20</v>
      </c>
      <c r="C82" t="str">
        <f t="shared" si="1"/>
        <v>31-Dec-21</v>
      </c>
      <c r="D82" t="s">
        <v>21</v>
      </c>
      <c r="E82" t="s">
        <v>22</v>
      </c>
      <c r="F82" t="str">
        <f>"BF0L353"</f>
        <v>BF0L353</v>
      </c>
      <c r="G82" t="s">
        <v>107</v>
      </c>
      <c r="I82" t="s">
        <v>103</v>
      </c>
      <c r="J82">
        <v>0.839602791</v>
      </c>
      <c r="K82">
        <v>559344</v>
      </c>
      <c r="L82">
        <v>2407830.69</v>
      </c>
      <c r="M82">
        <v>2108697.19</v>
      </c>
      <c r="N82">
        <v>2.14</v>
      </c>
      <c r="O82">
        <v>1196996.16</v>
      </c>
      <c r="P82">
        <v>1005001.32</v>
      </c>
      <c r="Q82">
        <v>0</v>
      </c>
      <c r="R82">
        <v>0</v>
      </c>
      <c r="S82">
        <v>0.023</v>
      </c>
      <c r="T82" t="s">
        <v>25</v>
      </c>
    </row>
    <row r="83" spans="1:20" ht="15">
      <c r="A83" t="s">
        <v>19</v>
      </c>
      <c r="B83" t="s">
        <v>20</v>
      </c>
      <c r="C83" t="str">
        <f t="shared" si="1"/>
        <v>31-Dec-21</v>
      </c>
      <c r="D83" t="s">
        <v>21</v>
      </c>
      <c r="E83" t="s">
        <v>22</v>
      </c>
      <c r="F83" t="str">
        <f>"BF03BV1"</f>
        <v>BF03BV1</v>
      </c>
      <c r="G83" t="s">
        <v>108</v>
      </c>
      <c r="I83" t="s">
        <v>103</v>
      </c>
      <c r="J83">
        <v>0.839602791</v>
      </c>
      <c r="K83">
        <v>50226</v>
      </c>
      <c r="L83">
        <v>692224.81</v>
      </c>
      <c r="M83">
        <v>618290.29</v>
      </c>
      <c r="N83">
        <v>12.94</v>
      </c>
      <c r="O83">
        <v>649924.44</v>
      </c>
      <c r="P83">
        <v>545678.37</v>
      </c>
      <c r="Q83">
        <v>0</v>
      </c>
      <c r="R83">
        <v>0</v>
      </c>
      <c r="S83">
        <v>0.013</v>
      </c>
      <c r="T83" t="s">
        <v>25</v>
      </c>
    </row>
    <row r="84" spans="1:20" ht="15">
      <c r="A84" t="s">
        <v>19</v>
      </c>
      <c r="B84" t="s">
        <v>20</v>
      </c>
      <c r="C84" t="str">
        <f t="shared" si="1"/>
        <v>31-Dec-21</v>
      </c>
      <c r="D84" t="s">
        <v>21</v>
      </c>
      <c r="E84" t="s">
        <v>22</v>
      </c>
      <c r="F84" t="str">
        <f>"B1WVF68"</f>
        <v>B1WVF68</v>
      </c>
      <c r="G84" t="s">
        <v>109</v>
      </c>
      <c r="I84" t="s">
        <v>103</v>
      </c>
      <c r="J84">
        <v>0.839602791</v>
      </c>
      <c r="K84">
        <v>46358</v>
      </c>
      <c r="L84">
        <v>2256903.91</v>
      </c>
      <c r="M84">
        <v>1702568.18</v>
      </c>
      <c r="N84">
        <v>45.38</v>
      </c>
      <c r="O84">
        <v>2103726.04</v>
      </c>
      <c r="P84">
        <v>1766294.25</v>
      </c>
      <c r="Q84">
        <v>0</v>
      </c>
      <c r="R84">
        <v>0</v>
      </c>
      <c r="S84">
        <v>0.041</v>
      </c>
      <c r="T84" t="s">
        <v>25</v>
      </c>
    </row>
    <row r="85" spans="1:20" ht="15">
      <c r="A85" t="s">
        <v>19</v>
      </c>
      <c r="B85" t="s">
        <v>20</v>
      </c>
      <c r="C85" t="str">
        <f t="shared" si="1"/>
        <v>31-Dec-21</v>
      </c>
      <c r="D85" t="s">
        <v>21</v>
      </c>
      <c r="E85" t="s">
        <v>22</v>
      </c>
      <c r="F85" t="str">
        <f>"5165294"</f>
        <v>5165294</v>
      </c>
      <c r="G85" t="s">
        <v>110</v>
      </c>
      <c r="I85" t="s">
        <v>103</v>
      </c>
      <c r="J85">
        <v>0.839602791</v>
      </c>
      <c r="K85">
        <v>31351</v>
      </c>
      <c r="L85">
        <v>2952517.75</v>
      </c>
      <c r="M85">
        <v>2625387.37</v>
      </c>
      <c r="N85">
        <v>388.7</v>
      </c>
      <c r="O85">
        <v>12186133.7</v>
      </c>
      <c r="P85">
        <v>10231511.86</v>
      </c>
      <c r="Q85">
        <v>0</v>
      </c>
      <c r="R85">
        <v>0</v>
      </c>
      <c r="S85">
        <v>0.236</v>
      </c>
      <c r="T85" t="s">
        <v>25</v>
      </c>
    </row>
    <row r="86" spans="1:20" ht="15">
      <c r="A86" t="s">
        <v>19</v>
      </c>
      <c r="B86" t="s">
        <v>20</v>
      </c>
      <c r="C86" t="str">
        <f t="shared" si="1"/>
        <v>31-Dec-21</v>
      </c>
      <c r="D86" t="s">
        <v>21</v>
      </c>
      <c r="E86" t="s">
        <v>22</v>
      </c>
      <c r="F86" t="str">
        <f>"B929F46"</f>
        <v>B929F46</v>
      </c>
      <c r="G86" t="s">
        <v>111</v>
      </c>
      <c r="I86" t="s">
        <v>103</v>
      </c>
      <c r="J86">
        <v>0.839602791</v>
      </c>
      <c r="K86">
        <v>255023</v>
      </c>
      <c r="L86">
        <v>38824006.45</v>
      </c>
      <c r="M86">
        <v>32098763</v>
      </c>
      <c r="N86">
        <v>706.7</v>
      </c>
      <c r="O86">
        <v>180224754.1</v>
      </c>
      <c r="P86">
        <v>151317206.51</v>
      </c>
      <c r="Q86">
        <v>0</v>
      </c>
      <c r="R86">
        <v>0</v>
      </c>
      <c r="S86">
        <v>3.497</v>
      </c>
      <c r="T86" t="s">
        <v>25</v>
      </c>
    </row>
    <row r="87" spans="1:20" ht="15">
      <c r="A87" t="s">
        <v>19</v>
      </c>
      <c r="B87" t="s">
        <v>20</v>
      </c>
      <c r="C87" t="str">
        <f t="shared" si="1"/>
        <v>31-Dec-21</v>
      </c>
      <c r="D87" t="s">
        <v>21</v>
      </c>
      <c r="E87" t="s">
        <v>22</v>
      </c>
      <c r="F87" t="str">
        <f>"BD9PNF2"</f>
        <v>BD9PNF2</v>
      </c>
      <c r="G87" t="s">
        <v>112</v>
      </c>
      <c r="I87" t="s">
        <v>103</v>
      </c>
      <c r="J87">
        <v>0.839602791</v>
      </c>
      <c r="K87">
        <v>86329</v>
      </c>
      <c r="L87">
        <v>2830789.04</v>
      </c>
      <c r="M87">
        <v>2508748.18</v>
      </c>
      <c r="N87">
        <v>40.5</v>
      </c>
      <c r="O87">
        <v>3496324.5</v>
      </c>
      <c r="P87">
        <v>2935523.81</v>
      </c>
      <c r="Q87">
        <v>0</v>
      </c>
      <c r="R87">
        <v>0</v>
      </c>
      <c r="S87">
        <v>0.068</v>
      </c>
      <c r="T87" t="s">
        <v>25</v>
      </c>
    </row>
    <row r="88" spans="1:20" ht="15">
      <c r="A88" t="s">
        <v>19</v>
      </c>
      <c r="B88" t="s">
        <v>20</v>
      </c>
      <c r="C88" t="str">
        <f t="shared" si="1"/>
        <v>31-Dec-21</v>
      </c>
      <c r="D88" t="s">
        <v>21</v>
      </c>
      <c r="E88" t="s">
        <v>22</v>
      </c>
      <c r="F88" t="str">
        <f>"7088429"</f>
        <v>7088429</v>
      </c>
      <c r="G88" t="s">
        <v>113</v>
      </c>
      <c r="I88" t="s">
        <v>103</v>
      </c>
      <c r="J88">
        <v>0.839602791</v>
      </c>
      <c r="K88">
        <v>1241461</v>
      </c>
      <c r="L88">
        <v>27223500.42</v>
      </c>
      <c r="M88">
        <v>21018564.51</v>
      </c>
      <c r="N88">
        <v>26.185</v>
      </c>
      <c r="O88">
        <v>32507656.29</v>
      </c>
      <c r="P88">
        <v>27293518.94</v>
      </c>
      <c r="Q88">
        <v>0</v>
      </c>
      <c r="R88">
        <v>0</v>
      </c>
      <c r="S88">
        <v>0.631</v>
      </c>
      <c r="T88" t="s">
        <v>25</v>
      </c>
    </row>
    <row r="89" spans="1:20" ht="15">
      <c r="A89" t="s">
        <v>19</v>
      </c>
      <c r="B89" t="s">
        <v>20</v>
      </c>
      <c r="C89" t="str">
        <f t="shared" si="1"/>
        <v>31-Dec-21</v>
      </c>
      <c r="D89" t="s">
        <v>21</v>
      </c>
      <c r="E89" t="s">
        <v>22</v>
      </c>
      <c r="F89" t="str">
        <f>"B1W8P14"</f>
        <v>B1W8P14</v>
      </c>
      <c r="G89" t="s">
        <v>114</v>
      </c>
      <c r="I89" t="s">
        <v>103</v>
      </c>
      <c r="J89">
        <v>0.839602791</v>
      </c>
      <c r="K89">
        <v>63955</v>
      </c>
      <c r="L89">
        <v>2528826.58</v>
      </c>
      <c r="M89">
        <v>2220764.8</v>
      </c>
      <c r="N89">
        <v>58.26</v>
      </c>
      <c r="O89">
        <v>3726018.3</v>
      </c>
      <c r="P89">
        <v>3128375.36</v>
      </c>
      <c r="Q89">
        <v>0</v>
      </c>
      <c r="R89">
        <v>0</v>
      </c>
      <c r="S89">
        <v>0.072</v>
      </c>
      <c r="T89" t="s">
        <v>25</v>
      </c>
    </row>
    <row r="90" spans="1:20" ht="15">
      <c r="A90" t="s">
        <v>19</v>
      </c>
      <c r="B90" t="s">
        <v>20</v>
      </c>
      <c r="C90" t="str">
        <f t="shared" si="1"/>
        <v>31-Dec-21</v>
      </c>
      <c r="D90" t="s">
        <v>21</v>
      </c>
      <c r="E90" t="s">
        <v>22</v>
      </c>
      <c r="F90" t="str">
        <f>"5579107"</f>
        <v>5579107</v>
      </c>
      <c r="G90" t="s">
        <v>115</v>
      </c>
      <c r="I90" t="s">
        <v>103</v>
      </c>
      <c r="J90">
        <v>0.839602791</v>
      </c>
      <c r="K90">
        <v>14307</v>
      </c>
      <c r="L90">
        <v>1037294.15</v>
      </c>
      <c r="M90">
        <v>777115.4</v>
      </c>
      <c r="N90">
        <v>168.1</v>
      </c>
      <c r="O90">
        <v>2405006.7</v>
      </c>
      <c r="P90">
        <v>2019250.34</v>
      </c>
      <c r="Q90">
        <v>0</v>
      </c>
      <c r="R90">
        <v>0</v>
      </c>
      <c r="S90">
        <v>0.047</v>
      </c>
      <c r="T90" t="s">
        <v>25</v>
      </c>
    </row>
    <row r="91" spans="1:20" ht="15">
      <c r="A91" t="s">
        <v>19</v>
      </c>
      <c r="B91" t="s">
        <v>20</v>
      </c>
      <c r="C91" t="str">
        <f t="shared" si="1"/>
        <v>31-Dec-21</v>
      </c>
      <c r="D91" t="s">
        <v>21</v>
      </c>
      <c r="E91" t="s">
        <v>22</v>
      </c>
      <c r="F91" t="str">
        <f>"5852842"</f>
        <v>5852842</v>
      </c>
      <c r="G91" t="s">
        <v>116</v>
      </c>
      <c r="I91" t="s">
        <v>103</v>
      </c>
      <c r="J91">
        <v>0.839602791</v>
      </c>
      <c r="K91">
        <v>120604</v>
      </c>
      <c r="L91">
        <v>5543480.63</v>
      </c>
      <c r="M91">
        <v>4281506.17</v>
      </c>
      <c r="N91">
        <v>28.45</v>
      </c>
      <c r="O91">
        <v>3431183.8</v>
      </c>
      <c r="P91">
        <v>2880831.49</v>
      </c>
      <c r="Q91">
        <v>0</v>
      </c>
      <c r="R91">
        <v>0</v>
      </c>
      <c r="S91">
        <v>0.067</v>
      </c>
      <c r="T91" t="s">
        <v>25</v>
      </c>
    </row>
    <row r="92" spans="1:20" ht="15">
      <c r="A92" t="s">
        <v>19</v>
      </c>
      <c r="B92" t="s">
        <v>20</v>
      </c>
      <c r="C92" t="str">
        <f t="shared" si="1"/>
        <v>31-Dec-21</v>
      </c>
      <c r="D92" t="s">
        <v>21</v>
      </c>
      <c r="E92" t="s">
        <v>22</v>
      </c>
      <c r="F92" t="str">
        <f>"5715774"</f>
        <v>5715774</v>
      </c>
      <c r="G92" t="s">
        <v>117</v>
      </c>
      <c r="I92" t="s">
        <v>103</v>
      </c>
      <c r="J92">
        <v>0.839602791</v>
      </c>
      <c r="K92">
        <v>14370</v>
      </c>
      <c r="L92">
        <v>1749993.25</v>
      </c>
      <c r="M92">
        <v>1398544.36</v>
      </c>
      <c r="N92">
        <v>168.7</v>
      </c>
      <c r="O92">
        <v>2424219</v>
      </c>
      <c r="P92">
        <v>2035381.04</v>
      </c>
      <c r="Q92">
        <v>0</v>
      </c>
      <c r="R92">
        <v>0</v>
      </c>
      <c r="S92">
        <v>0.047</v>
      </c>
      <c r="T92" t="s">
        <v>25</v>
      </c>
    </row>
    <row r="93" spans="1:20" ht="15">
      <c r="A93" t="s">
        <v>19</v>
      </c>
      <c r="B93" t="s">
        <v>20</v>
      </c>
      <c r="C93" t="str">
        <f t="shared" si="1"/>
        <v>31-Dec-21</v>
      </c>
      <c r="D93" t="s">
        <v>21</v>
      </c>
      <c r="E93" t="s">
        <v>22</v>
      </c>
      <c r="F93" t="str">
        <f>"BZ1HM42"</f>
        <v>BZ1HM42</v>
      </c>
      <c r="G93" t="s">
        <v>118</v>
      </c>
      <c r="I93" t="s">
        <v>103</v>
      </c>
      <c r="J93">
        <v>0.839602791</v>
      </c>
      <c r="K93">
        <v>18793</v>
      </c>
      <c r="L93">
        <v>15787630.42</v>
      </c>
      <c r="M93">
        <v>13618194</v>
      </c>
      <c r="N93">
        <v>2311.5</v>
      </c>
      <c r="O93">
        <v>43440019.5</v>
      </c>
      <c r="P93">
        <v>36472361.6</v>
      </c>
      <c r="Q93">
        <v>0</v>
      </c>
      <c r="R93">
        <v>0</v>
      </c>
      <c r="S93">
        <v>0.843</v>
      </c>
      <c r="T93" t="s">
        <v>25</v>
      </c>
    </row>
    <row r="94" spans="1:20" ht="15">
      <c r="A94" t="s">
        <v>19</v>
      </c>
      <c r="B94" t="s">
        <v>20</v>
      </c>
      <c r="C94" t="str">
        <f t="shared" si="1"/>
        <v>31-Dec-21</v>
      </c>
      <c r="D94" t="s">
        <v>21</v>
      </c>
      <c r="E94" t="s">
        <v>22</v>
      </c>
      <c r="F94" t="str">
        <f>"5927375"</f>
        <v>5927375</v>
      </c>
      <c r="G94" t="s">
        <v>119</v>
      </c>
      <c r="I94" t="s">
        <v>103</v>
      </c>
      <c r="J94">
        <v>0.839602791</v>
      </c>
      <c r="K94">
        <v>1208751</v>
      </c>
      <c r="L94">
        <v>7180686.73</v>
      </c>
      <c r="M94">
        <v>5455019.59</v>
      </c>
      <c r="N94">
        <v>4.393</v>
      </c>
      <c r="O94">
        <v>5310043.14</v>
      </c>
      <c r="P94">
        <v>4458327.04</v>
      </c>
      <c r="Q94">
        <v>0</v>
      </c>
      <c r="R94">
        <v>0</v>
      </c>
      <c r="S94">
        <v>0.103</v>
      </c>
      <c r="T94" t="s">
        <v>25</v>
      </c>
    </row>
    <row r="95" spans="1:20" ht="15">
      <c r="A95" t="s">
        <v>19</v>
      </c>
      <c r="B95" t="s">
        <v>20</v>
      </c>
      <c r="C95" t="str">
        <f t="shared" si="1"/>
        <v>31-Dec-21</v>
      </c>
      <c r="D95" t="s">
        <v>21</v>
      </c>
      <c r="E95" t="s">
        <v>22</v>
      </c>
      <c r="F95" t="str">
        <f>"BVRZ8L1"</f>
        <v>BVRZ8L1</v>
      </c>
      <c r="G95" t="s">
        <v>120</v>
      </c>
      <c r="I95" t="s">
        <v>103</v>
      </c>
      <c r="J95">
        <v>0.839602791</v>
      </c>
      <c r="K95">
        <v>46023</v>
      </c>
      <c r="L95">
        <v>5376528.49</v>
      </c>
      <c r="M95">
        <v>4290891.22</v>
      </c>
      <c r="N95">
        <v>138.8</v>
      </c>
      <c r="O95">
        <v>6387992.4</v>
      </c>
      <c r="P95">
        <v>5363376.25</v>
      </c>
      <c r="Q95">
        <v>0</v>
      </c>
      <c r="R95">
        <v>0</v>
      </c>
      <c r="S95">
        <v>0.124</v>
      </c>
      <c r="T95" t="s">
        <v>25</v>
      </c>
    </row>
    <row r="96" spans="1:20" ht="15">
      <c r="A96" t="s">
        <v>19</v>
      </c>
      <c r="B96" t="s">
        <v>20</v>
      </c>
      <c r="C96" t="str">
        <f t="shared" si="1"/>
        <v>31-Dec-21</v>
      </c>
      <c r="D96" t="s">
        <v>21</v>
      </c>
      <c r="E96" t="s">
        <v>22</v>
      </c>
      <c r="F96" t="str">
        <f>"B164FY1"</f>
        <v>B164FY1</v>
      </c>
      <c r="G96" t="s">
        <v>121</v>
      </c>
      <c r="I96" t="s">
        <v>103</v>
      </c>
      <c r="J96">
        <v>0.839602791</v>
      </c>
      <c r="K96">
        <v>18801</v>
      </c>
      <c r="L96">
        <v>2169844.82</v>
      </c>
      <c r="M96">
        <v>1673718.32</v>
      </c>
      <c r="N96">
        <v>113.3</v>
      </c>
      <c r="O96">
        <v>2130153.3</v>
      </c>
      <c r="P96">
        <v>1788482.66</v>
      </c>
      <c r="Q96">
        <v>0</v>
      </c>
      <c r="R96">
        <v>0</v>
      </c>
      <c r="S96">
        <v>0.041</v>
      </c>
      <c r="T96" t="s">
        <v>25</v>
      </c>
    </row>
    <row r="97" spans="1:20" ht="15">
      <c r="A97" t="s">
        <v>19</v>
      </c>
      <c r="B97" t="s">
        <v>20</v>
      </c>
      <c r="C97" t="str">
        <f t="shared" si="1"/>
        <v>31-Dec-21</v>
      </c>
      <c r="D97" t="s">
        <v>21</v>
      </c>
      <c r="E97" t="s">
        <v>22</v>
      </c>
      <c r="F97" t="str">
        <f>"B86S2N0"</f>
        <v>B86S2N0</v>
      </c>
      <c r="G97" t="s">
        <v>122</v>
      </c>
      <c r="I97" t="s">
        <v>103</v>
      </c>
      <c r="J97">
        <v>0.839602791</v>
      </c>
      <c r="K97">
        <v>119037</v>
      </c>
      <c r="L97">
        <v>4348121.06</v>
      </c>
      <c r="M97">
        <v>3324980.64</v>
      </c>
      <c r="N97">
        <v>45.55</v>
      </c>
      <c r="O97">
        <v>5422135.35</v>
      </c>
      <c r="P97">
        <v>4552439.97</v>
      </c>
      <c r="Q97">
        <v>0</v>
      </c>
      <c r="R97">
        <v>0</v>
      </c>
      <c r="S97">
        <v>0.105</v>
      </c>
      <c r="T97" t="s">
        <v>25</v>
      </c>
    </row>
    <row r="98" spans="1:20" ht="15">
      <c r="A98" t="s">
        <v>19</v>
      </c>
      <c r="B98" t="s">
        <v>20</v>
      </c>
      <c r="C98" t="str">
        <f t="shared" si="1"/>
        <v>31-Dec-21</v>
      </c>
      <c r="D98" t="s">
        <v>21</v>
      </c>
      <c r="E98" t="s">
        <v>22</v>
      </c>
      <c r="F98" t="str">
        <f>"B1YXBJ7"</f>
        <v>B1YXBJ7</v>
      </c>
      <c r="G98" t="s">
        <v>123</v>
      </c>
      <c r="I98" t="s">
        <v>103</v>
      </c>
      <c r="J98">
        <v>0.839602791</v>
      </c>
      <c r="K98">
        <v>302267</v>
      </c>
      <c r="L98">
        <v>29093434.33</v>
      </c>
      <c r="M98">
        <v>22966008.93</v>
      </c>
      <c r="N98">
        <v>153.32</v>
      </c>
      <c r="O98">
        <v>46343576.44</v>
      </c>
      <c r="P98">
        <v>38910196.11</v>
      </c>
      <c r="Q98">
        <v>0</v>
      </c>
      <c r="R98">
        <v>0</v>
      </c>
      <c r="S98">
        <v>0.899</v>
      </c>
      <c r="T98" t="s">
        <v>25</v>
      </c>
    </row>
    <row r="99" spans="1:20" ht="15">
      <c r="A99" t="s">
        <v>19</v>
      </c>
      <c r="B99" t="s">
        <v>20</v>
      </c>
      <c r="C99" t="str">
        <f t="shared" si="1"/>
        <v>31-Dec-21</v>
      </c>
      <c r="D99" t="s">
        <v>21</v>
      </c>
      <c r="E99" t="s">
        <v>22</v>
      </c>
      <c r="F99" t="str">
        <f>"4012250"</f>
        <v>4012250</v>
      </c>
      <c r="G99" t="s">
        <v>124</v>
      </c>
      <c r="I99" t="s">
        <v>103</v>
      </c>
      <c r="J99">
        <v>0.839602791</v>
      </c>
      <c r="K99">
        <v>361372</v>
      </c>
      <c r="L99">
        <v>25523358</v>
      </c>
      <c r="M99">
        <v>20082046.06</v>
      </c>
      <c r="N99">
        <v>112.36</v>
      </c>
      <c r="O99">
        <v>40603757.92</v>
      </c>
      <c r="P99">
        <v>34091028.47</v>
      </c>
      <c r="Q99">
        <v>0</v>
      </c>
      <c r="R99">
        <v>0</v>
      </c>
      <c r="S99">
        <v>0.788</v>
      </c>
      <c r="T99" t="s">
        <v>25</v>
      </c>
    </row>
    <row r="100" spans="1:20" ht="15">
      <c r="A100" t="s">
        <v>19</v>
      </c>
      <c r="B100" t="s">
        <v>20</v>
      </c>
      <c r="C100" t="str">
        <f t="shared" si="1"/>
        <v>31-Dec-21</v>
      </c>
      <c r="D100" t="s">
        <v>21</v>
      </c>
      <c r="E100" t="s">
        <v>22</v>
      </c>
      <c r="F100" t="str">
        <f>"BJ2KSG2"</f>
        <v>BJ2KSG2</v>
      </c>
      <c r="G100" t="s">
        <v>125</v>
      </c>
      <c r="I100" t="s">
        <v>103</v>
      </c>
      <c r="J100">
        <v>0.839602791</v>
      </c>
      <c r="K100">
        <v>116295</v>
      </c>
      <c r="L100">
        <v>9011717.97</v>
      </c>
      <c r="M100">
        <v>6877531.28</v>
      </c>
      <c r="N100">
        <v>96.5</v>
      </c>
      <c r="O100">
        <v>11222467.5</v>
      </c>
      <c r="P100">
        <v>9422415.03</v>
      </c>
      <c r="Q100">
        <v>0</v>
      </c>
      <c r="R100">
        <v>0</v>
      </c>
      <c r="S100">
        <v>0.218</v>
      </c>
      <c r="T100" t="s">
        <v>25</v>
      </c>
    </row>
    <row r="101" spans="1:20" ht="15">
      <c r="A101" t="s">
        <v>19</v>
      </c>
      <c r="B101" t="s">
        <v>20</v>
      </c>
      <c r="C101" t="str">
        <f t="shared" si="1"/>
        <v>31-Dec-21</v>
      </c>
      <c r="D101" t="s">
        <v>21</v>
      </c>
      <c r="E101" t="s">
        <v>22</v>
      </c>
      <c r="F101" t="str">
        <f>"5231485"</f>
        <v>5231485</v>
      </c>
      <c r="G101" t="s">
        <v>126</v>
      </c>
      <c r="I101" t="s">
        <v>103</v>
      </c>
      <c r="J101">
        <v>0.839602791</v>
      </c>
      <c r="K101">
        <v>267715</v>
      </c>
      <c r="L101">
        <v>43074821.34</v>
      </c>
      <c r="M101">
        <v>33572653.24</v>
      </c>
      <c r="N101">
        <v>207.65</v>
      </c>
      <c r="O101">
        <v>55591019.75</v>
      </c>
      <c r="P101">
        <v>46674375.33</v>
      </c>
      <c r="Q101">
        <v>0</v>
      </c>
      <c r="R101">
        <v>0</v>
      </c>
      <c r="S101">
        <v>1.079</v>
      </c>
      <c r="T101" t="s">
        <v>25</v>
      </c>
    </row>
    <row r="102" spans="1:20" ht="15">
      <c r="A102" t="s">
        <v>19</v>
      </c>
      <c r="B102" t="s">
        <v>20</v>
      </c>
      <c r="C102" t="str">
        <f t="shared" si="1"/>
        <v>31-Dec-21</v>
      </c>
      <c r="D102" t="s">
        <v>21</v>
      </c>
      <c r="E102" t="s">
        <v>22</v>
      </c>
      <c r="F102" t="str">
        <f>"B0DJ8Q5"</f>
        <v>B0DJ8Q5</v>
      </c>
      <c r="G102" t="s">
        <v>127</v>
      </c>
      <c r="I102" t="s">
        <v>103</v>
      </c>
      <c r="J102">
        <v>0.839602791</v>
      </c>
      <c r="K102">
        <v>193021</v>
      </c>
      <c r="L102">
        <v>6312435.21</v>
      </c>
      <c r="M102">
        <v>5300236.99</v>
      </c>
      <c r="N102">
        <v>31.22</v>
      </c>
      <c r="O102">
        <v>6026115.62</v>
      </c>
      <c r="P102">
        <v>5059543.49</v>
      </c>
      <c r="Q102">
        <v>0</v>
      </c>
      <c r="R102">
        <v>0</v>
      </c>
      <c r="S102">
        <v>0.117</v>
      </c>
      <c r="T102" t="s">
        <v>25</v>
      </c>
    </row>
    <row r="103" spans="1:20" ht="15">
      <c r="A103" t="s">
        <v>19</v>
      </c>
      <c r="B103" t="s">
        <v>20</v>
      </c>
      <c r="C103" t="str">
        <f t="shared" si="1"/>
        <v>31-Dec-21</v>
      </c>
      <c r="D103" t="s">
        <v>21</v>
      </c>
      <c r="E103" t="s">
        <v>22</v>
      </c>
      <c r="F103" t="str">
        <f>"B3MSM28"</f>
        <v>B3MSM28</v>
      </c>
      <c r="G103" t="s">
        <v>128</v>
      </c>
      <c r="I103" t="s">
        <v>103</v>
      </c>
      <c r="J103">
        <v>0.839602791</v>
      </c>
      <c r="K103">
        <v>283777</v>
      </c>
      <c r="L103">
        <v>13053168.6</v>
      </c>
      <c r="M103">
        <v>10325172.55</v>
      </c>
      <c r="N103">
        <v>59.64</v>
      </c>
      <c r="O103">
        <v>16924460.28</v>
      </c>
      <c r="P103">
        <v>14209824.08</v>
      </c>
      <c r="Q103">
        <v>0</v>
      </c>
      <c r="R103">
        <v>0</v>
      </c>
      <c r="S103">
        <v>0.328</v>
      </c>
      <c r="T103" t="s">
        <v>25</v>
      </c>
    </row>
    <row r="104" spans="1:20" ht="15">
      <c r="A104" t="s">
        <v>19</v>
      </c>
      <c r="B104" t="s">
        <v>20</v>
      </c>
      <c r="C104" t="str">
        <f t="shared" si="1"/>
        <v>31-Dec-21</v>
      </c>
      <c r="D104" t="s">
        <v>21</v>
      </c>
      <c r="E104" t="s">
        <v>22</v>
      </c>
      <c r="F104" t="str">
        <f>"B14NJ71"</f>
        <v>B14NJ71</v>
      </c>
      <c r="G104" t="s">
        <v>129</v>
      </c>
      <c r="I104" t="s">
        <v>103</v>
      </c>
      <c r="J104">
        <v>0.839602791</v>
      </c>
      <c r="K104">
        <v>84808</v>
      </c>
      <c r="L104">
        <v>1996560.12</v>
      </c>
      <c r="M104">
        <v>1752551.35</v>
      </c>
      <c r="N104">
        <v>47.45</v>
      </c>
      <c r="O104">
        <v>4024139.6</v>
      </c>
      <c r="P104">
        <v>3378678.84</v>
      </c>
      <c r="Q104">
        <v>0</v>
      </c>
      <c r="R104">
        <v>0</v>
      </c>
      <c r="S104">
        <v>0.078</v>
      </c>
      <c r="T104" t="s">
        <v>25</v>
      </c>
    </row>
    <row r="105" spans="1:20" ht="15">
      <c r="A105" t="s">
        <v>19</v>
      </c>
      <c r="B105" t="s">
        <v>20</v>
      </c>
      <c r="C105" t="str">
        <f t="shared" si="1"/>
        <v>31-Dec-21</v>
      </c>
      <c r="D105" t="s">
        <v>21</v>
      </c>
      <c r="E105" t="s">
        <v>22</v>
      </c>
      <c r="F105" t="str">
        <f>"BYZR014"</f>
        <v>BYZR014</v>
      </c>
      <c r="G105" t="s">
        <v>130</v>
      </c>
      <c r="I105" t="s">
        <v>103</v>
      </c>
      <c r="J105">
        <v>0.839602791</v>
      </c>
      <c r="K105">
        <v>39504</v>
      </c>
      <c r="L105">
        <v>1989810.89</v>
      </c>
      <c r="M105">
        <v>1675809.79</v>
      </c>
      <c r="N105">
        <v>72.55</v>
      </c>
      <c r="O105">
        <v>2866015.2</v>
      </c>
      <c r="P105">
        <v>2406314.36</v>
      </c>
      <c r="Q105">
        <v>0</v>
      </c>
      <c r="R105">
        <v>0</v>
      </c>
      <c r="S105">
        <v>0.056</v>
      </c>
      <c r="T105" t="s">
        <v>25</v>
      </c>
    </row>
    <row r="106" spans="1:20" ht="15">
      <c r="A106" t="s">
        <v>19</v>
      </c>
      <c r="B106" t="s">
        <v>20</v>
      </c>
      <c r="C106" t="str">
        <f t="shared" si="1"/>
        <v>31-Dec-21</v>
      </c>
      <c r="D106" t="s">
        <v>21</v>
      </c>
      <c r="E106" t="s">
        <v>22</v>
      </c>
      <c r="F106" t="str">
        <f>"BYYHL23"</f>
        <v>BYYHL23</v>
      </c>
      <c r="G106" t="s">
        <v>131</v>
      </c>
      <c r="I106" t="s">
        <v>103</v>
      </c>
      <c r="J106">
        <v>0.839602791</v>
      </c>
      <c r="K106">
        <v>555942</v>
      </c>
      <c r="L106">
        <v>51952384.06</v>
      </c>
      <c r="M106">
        <v>40042675.9</v>
      </c>
      <c r="N106">
        <v>53.17</v>
      </c>
      <c r="O106">
        <v>29559436.14</v>
      </c>
      <c r="P106">
        <v>24818185.08</v>
      </c>
      <c r="Q106">
        <v>0</v>
      </c>
      <c r="R106">
        <v>0</v>
      </c>
      <c r="S106">
        <v>0.574</v>
      </c>
      <c r="T106" t="s">
        <v>25</v>
      </c>
    </row>
    <row r="107" spans="1:20" ht="15">
      <c r="A107" t="s">
        <v>19</v>
      </c>
      <c r="B107" t="s">
        <v>20</v>
      </c>
      <c r="C107" t="str">
        <f t="shared" si="1"/>
        <v>31-Dec-21</v>
      </c>
      <c r="D107" t="s">
        <v>21</v>
      </c>
      <c r="E107" t="s">
        <v>22</v>
      </c>
      <c r="F107" t="str">
        <f>"BYPBS67"</f>
        <v>BYPBS67</v>
      </c>
      <c r="G107" t="s">
        <v>132</v>
      </c>
      <c r="I107" t="s">
        <v>103</v>
      </c>
      <c r="J107">
        <v>0.839602791</v>
      </c>
      <c r="K107">
        <v>390334</v>
      </c>
      <c r="L107">
        <v>7298613.21</v>
      </c>
      <c r="M107">
        <v>5777784.44</v>
      </c>
      <c r="N107">
        <v>28.145</v>
      </c>
      <c r="O107">
        <v>10985950.43</v>
      </c>
      <c r="P107">
        <v>9223834.64</v>
      </c>
      <c r="Q107">
        <v>0</v>
      </c>
      <c r="R107">
        <v>0</v>
      </c>
      <c r="S107">
        <v>0.213</v>
      </c>
      <c r="T107" t="s">
        <v>25</v>
      </c>
    </row>
    <row r="108" spans="1:20" ht="15">
      <c r="A108" t="s">
        <v>19</v>
      </c>
      <c r="B108" t="s">
        <v>20</v>
      </c>
      <c r="C108" t="str">
        <f t="shared" si="1"/>
        <v>31-Dec-21</v>
      </c>
      <c r="D108" t="s">
        <v>21</v>
      </c>
      <c r="E108" t="s">
        <v>22</v>
      </c>
      <c r="F108" t="str">
        <f>"BNHKYX4"</f>
        <v>BNHKYX4</v>
      </c>
      <c r="G108" t="s">
        <v>133</v>
      </c>
      <c r="I108" t="s">
        <v>103</v>
      </c>
      <c r="J108">
        <v>0.839602791</v>
      </c>
      <c r="K108">
        <v>32067</v>
      </c>
      <c r="L108">
        <v>4236244.56</v>
      </c>
      <c r="M108">
        <v>3714887.75</v>
      </c>
      <c r="N108">
        <v>315.3</v>
      </c>
      <c r="O108">
        <v>10110725.1</v>
      </c>
      <c r="P108">
        <v>8488993.01</v>
      </c>
      <c r="Q108">
        <v>0</v>
      </c>
      <c r="R108">
        <v>0</v>
      </c>
      <c r="S108">
        <v>0.196</v>
      </c>
      <c r="T108" t="s">
        <v>25</v>
      </c>
    </row>
    <row r="109" spans="1:20" ht="15">
      <c r="A109" t="s">
        <v>19</v>
      </c>
      <c r="B109" t="s">
        <v>20</v>
      </c>
      <c r="C109" t="str">
        <f t="shared" si="1"/>
        <v>31-Dec-21</v>
      </c>
      <c r="D109" t="s">
        <v>21</v>
      </c>
      <c r="E109" t="s">
        <v>22</v>
      </c>
      <c r="F109" t="str">
        <f>"B0Z5YZ2"</f>
        <v>B0Z5YZ2</v>
      </c>
      <c r="G109" t="s">
        <v>134</v>
      </c>
      <c r="I109" t="s">
        <v>103</v>
      </c>
      <c r="J109">
        <v>0.839602791</v>
      </c>
      <c r="K109">
        <v>43861</v>
      </c>
      <c r="L109">
        <v>3445774.74</v>
      </c>
      <c r="M109">
        <v>2758248.54</v>
      </c>
      <c r="N109">
        <v>123.85</v>
      </c>
      <c r="O109">
        <v>5432184.85</v>
      </c>
      <c r="P109">
        <v>4560877.56</v>
      </c>
      <c r="Q109">
        <v>0</v>
      </c>
      <c r="R109">
        <v>0</v>
      </c>
      <c r="S109">
        <v>0.105</v>
      </c>
      <c r="T109" t="s">
        <v>25</v>
      </c>
    </row>
    <row r="110" spans="1:20" ht="15">
      <c r="A110" t="s">
        <v>19</v>
      </c>
      <c r="B110" t="s">
        <v>20</v>
      </c>
      <c r="C110" t="str">
        <f t="shared" si="1"/>
        <v>31-Dec-21</v>
      </c>
      <c r="D110" t="s">
        <v>21</v>
      </c>
      <c r="E110" t="s">
        <v>22</v>
      </c>
      <c r="F110" t="str">
        <f>"BF0CK44"</f>
        <v>BF0CK44</v>
      </c>
      <c r="G110" t="s">
        <v>135</v>
      </c>
      <c r="I110" t="s">
        <v>103</v>
      </c>
      <c r="J110">
        <v>0.839602791</v>
      </c>
      <c r="K110">
        <v>770841</v>
      </c>
      <c r="L110">
        <v>5785458.55</v>
      </c>
      <c r="M110">
        <v>5065452.99</v>
      </c>
      <c r="N110">
        <v>5.32</v>
      </c>
      <c r="O110">
        <v>4100874.12</v>
      </c>
      <c r="P110">
        <v>3443105.36</v>
      </c>
      <c r="Q110">
        <v>0</v>
      </c>
      <c r="R110">
        <v>0</v>
      </c>
      <c r="S110">
        <v>0.08</v>
      </c>
      <c r="T110" t="s">
        <v>25</v>
      </c>
    </row>
    <row r="111" spans="1:20" ht="15">
      <c r="A111" t="s">
        <v>19</v>
      </c>
      <c r="B111" t="s">
        <v>20</v>
      </c>
      <c r="C111" t="str">
        <f t="shared" si="1"/>
        <v>31-Dec-21</v>
      </c>
      <c r="D111" t="s">
        <v>21</v>
      </c>
      <c r="E111" t="s">
        <v>22</v>
      </c>
      <c r="F111" t="str">
        <f>"4056719"</f>
        <v>4056719</v>
      </c>
      <c r="G111" t="s">
        <v>136</v>
      </c>
      <c r="I111" t="s">
        <v>103</v>
      </c>
      <c r="J111">
        <v>0.839602791</v>
      </c>
      <c r="K111">
        <v>781185</v>
      </c>
      <c r="L111">
        <v>12661686.33</v>
      </c>
      <c r="M111">
        <v>9743427.99</v>
      </c>
      <c r="N111">
        <v>18.63</v>
      </c>
      <c r="O111">
        <v>14553476.55</v>
      </c>
      <c r="P111">
        <v>12219139.53</v>
      </c>
      <c r="Q111">
        <v>0</v>
      </c>
      <c r="R111">
        <v>0</v>
      </c>
      <c r="S111">
        <v>0.282</v>
      </c>
      <c r="T111" t="s">
        <v>25</v>
      </c>
    </row>
    <row r="112" spans="1:20" ht="15">
      <c r="A112" t="s">
        <v>19</v>
      </c>
      <c r="B112" t="s">
        <v>20</v>
      </c>
      <c r="C112" t="str">
        <f t="shared" si="1"/>
        <v>31-Dec-21</v>
      </c>
      <c r="D112" t="s">
        <v>21</v>
      </c>
      <c r="E112" t="s">
        <v>22</v>
      </c>
      <c r="F112" t="str">
        <f>"7667163"</f>
        <v>7667163</v>
      </c>
      <c r="G112" t="s">
        <v>137</v>
      </c>
      <c r="I112" t="s">
        <v>103</v>
      </c>
      <c r="J112">
        <v>0.839602791</v>
      </c>
      <c r="K112">
        <v>318342</v>
      </c>
      <c r="L112">
        <v>5066659.98</v>
      </c>
      <c r="M112">
        <v>4325844.78</v>
      </c>
      <c r="N112">
        <v>17.455</v>
      </c>
      <c r="O112">
        <v>5556659.61</v>
      </c>
      <c r="P112">
        <v>4665386.92</v>
      </c>
      <c r="Q112">
        <v>0</v>
      </c>
      <c r="R112">
        <v>0</v>
      </c>
      <c r="S112">
        <v>0.108</v>
      </c>
      <c r="T112" t="s">
        <v>25</v>
      </c>
    </row>
    <row r="113" spans="1:20" ht="15">
      <c r="A113" t="s">
        <v>19</v>
      </c>
      <c r="B113" t="s">
        <v>20</v>
      </c>
      <c r="C113" t="str">
        <f t="shared" si="1"/>
        <v>31-Dec-21</v>
      </c>
      <c r="D113" t="s">
        <v>21</v>
      </c>
      <c r="E113" t="s">
        <v>22</v>
      </c>
      <c r="F113" t="str">
        <f>"5654781"</f>
        <v>5654781</v>
      </c>
      <c r="G113" t="s">
        <v>138</v>
      </c>
      <c r="I113" t="s">
        <v>103</v>
      </c>
      <c r="J113">
        <v>0.839602791</v>
      </c>
      <c r="K113">
        <v>60761</v>
      </c>
      <c r="L113">
        <v>3689765.69</v>
      </c>
      <c r="M113">
        <v>2900749</v>
      </c>
      <c r="N113">
        <v>37.39</v>
      </c>
      <c r="O113">
        <v>2271853.79</v>
      </c>
      <c r="P113">
        <v>1907454.78</v>
      </c>
      <c r="Q113">
        <v>0</v>
      </c>
      <c r="R113">
        <v>0</v>
      </c>
      <c r="S113">
        <v>0.044</v>
      </c>
      <c r="T113" t="s">
        <v>25</v>
      </c>
    </row>
    <row r="114" spans="1:20" ht="15">
      <c r="A114" t="s">
        <v>19</v>
      </c>
      <c r="B114" t="s">
        <v>20</v>
      </c>
      <c r="C114" t="str">
        <f t="shared" si="1"/>
        <v>31-Dec-21</v>
      </c>
      <c r="D114" t="s">
        <v>21</v>
      </c>
      <c r="E114" t="s">
        <v>22</v>
      </c>
      <c r="F114" t="str">
        <f>"BL5C4C7"</f>
        <v>BL5C4C7</v>
      </c>
      <c r="G114" t="s">
        <v>139</v>
      </c>
      <c r="I114" t="s">
        <v>103</v>
      </c>
      <c r="J114">
        <v>0.839602791</v>
      </c>
      <c r="K114">
        <v>60445</v>
      </c>
      <c r="L114">
        <v>2160796.16</v>
      </c>
      <c r="M114">
        <v>1856024.01</v>
      </c>
      <c r="N114">
        <v>19.44</v>
      </c>
      <c r="O114">
        <v>1175050.8</v>
      </c>
      <c r="P114">
        <v>986575.93</v>
      </c>
      <c r="Q114">
        <v>0</v>
      </c>
      <c r="R114">
        <v>0</v>
      </c>
      <c r="S114">
        <v>0.023</v>
      </c>
      <c r="T114" t="s">
        <v>25</v>
      </c>
    </row>
    <row r="115" spans="1:20" ht="15">
      <c r="A115" t="s">
        <v>19</v>
      </c>
      <c r="B115" t="s">
        <v>20</v>
      </c>
      <c r="C115" t="str">
        <f t="shared" si="1"/>
        <v>31-Dec-21</v>
      </c>
      <c r="D115" t="s">
        <v>21</v>
      </c>
      <c r="E115" t="s">
        <v>22</v>
      </c>
      <c r="F115" t="str">
        <f>"5086577"</f>
        <v>5086577</v>
      </c>
      <c r="G115" t="s">
        <v>140</v>
      </c>
      <c r="I115" t="s">
        <v>103</v>
      </c>
      <c r="J115">
        <v>0.839602791</v>
      </c>
      <c r="K115">
        <v>598640</v>
      </c>
      <c r="L115">
        <v>48243475.94</v>
      </c>
      <c r="M115">
        <v>37024135.2</v>
      </c>
      <c r="N115">
        <v>61.78</v>
      </c>
      <c r="O115">
        <v>36983979.2</v>
      </c>
      <c r="P115">
        <v>31051852.15</v>
      </c>
      <c r="Q115">
        <v>0</v>
      </c>
      <c r="R115">
        <v>0</v>
      </c>
      <c r="S115">
        <v>0.718</v>
      </c>
      <c r="T115" t="s">
        <v>25</v>
      </c>
    </row>
    <row r="116" spans="1:20" ht="15">
      <c r="A116" t="s">
        <v>19</v>
      </c>
      <c r="B116" t="s">
        <v>20</v>
      </c>
      <c r="C116" t="str">
        <f t="shared" si="1"/>
        <v>31-Dec-21</v>
      </c>
      <c r="D116" t="s">
        <v>21</v>
      </c>
      <c r="E116" t="s">
        <v>22</v>
      </c>
      <c r="F116" t="str">
        <f>"BG0SCK9"</f>
        <v>BG0SCK9</v>
      </c>
      <c r="G116" t="s">
        <v>141</v>
      </c>
      <c r="I116" t="s">
        <v>103</v>
      </c>
      <c r="J116">
        <v>0.839602791</v>
      </c>
      <c r="K116">
        <v>46274</v>
      </c>
      <c r="L116">
        <v>3634752.94</v>
      </c>
      <c r="M116">
        <v>3105232.49</v>
      </c>
      <c r="N116">
        <v>75.02</v>
      </c>
      <c r="O116">
        <v>3471475.48</v>
      </c>
      <c r="P116">
        <v>2914660.5</v>
      </c>
      <c r="Q116">
        <v>0</v>
      </c>
      <c r="R116">
        <v>0</v>
      </c>
      <c r="S116">
        <v>0.067</v>
      </c>
      <c r="T116" t="s">
        <v>25</v>
      </c>
    </row>
    <row r="117" spans="1:20" ht="15">
      <c r="A117" t="s">
        <v>19</v>
      </c>
      <c r="B117" t="s">
        <v>20</v>
      </c>
      <c r="C117" t="str">
        <f t="shared" si="1"/>
        <v>31-Dec-21</v>
      </c>
      <c r="D117" t="s">
        <v>21</v>
      </c>
      <c r="E117" t="s">
        <v>22</v>
      </c>
      <c r="F117" t="str">
        <f>"7309681"</f>
        <v>7309681</v>
      </c>
      <c r="G117" t="s">
        <v>142</v>
      </c>
      <c r="I117" t="s">
        <v>103</v>
      </c>
      <c r="J117">
        <v>0.839602791</v>
      </c>
      <c r="K117">
        <v>703858</v>
      </c>
      <c r="L117">
        <v>38260009.84</v>
      </c>
      <c r="M117">
        <v>29891639.44</v>
      </c>
      <c r="N117">
        <v>60.77</v>
      </c>
      <c r="O117">
        <v>42773450.66</v>
      </c>
      <c r="P117">
        <v>35912708.55</v>
      </c>
      <c r="Q117">
        <v>0</v>
      </c>
      <c r="R117">
        <v>0</v>
      </c>
      <c r="S117">
        <v>0.83</v>
      </c>
      <c r="T117" t="s">
        <v>25</v>
      </c>
    </row>
    <row r="118" spans="1:20" ht="15">
      <c r="A118" t="s">
        <v>19</v>
      </c>
      <c r="B118" t="s">
        <v>20</v>
      </c>
      <c r="C118" t="str">
        <f t="shared" si="1"/>
        <v>31-Dec-21</v>
      </c>
      <c r="D118" t="s">
        <v>21</v>
      </c>
      <c r="E118" t="s">
        <v>22</v>
      </c>
      <c r="F118" t="str">
        <f>"BYWP840"</f>
        <v>BYWP840</v>
      </c>
      <c r="G118" t="s">
        <v>143</v>
      </c>
      <c r="I118" t="s">
        <v>103</v>
      </c>
      <c r="J118">
        <v>0.839602791</v>
      </c>
      <c r="K118">
        <v>156781</v>
      </c>
      <c r="L118">
        <v>1061765.69</v>
      </c>
      <c r="M118">
        <v>821308.98</v>
      </c>
      <c r="N118">
        <v>8.68</v>
      </c>
      <c r="O118">
        <v>1360859.08</v>
      </c>
      <c r="P118">
        <v>1142581.08</v>
      </c>
      <c r="Q118">
        <v>0</v>
      </c>
      <c r="R118">
        <v>0</v>
      </c>
      <c r="S118">
        <v>0.026</v>
      </c>
      <c r="T118" t="s">
        <v>25</v>
      </c>
    </row>
    <row r="119" spans="1:20" ht="15">
      <c r="A119" t="s">
        <v>19</v>
      </c>
      <c r="B119" t="s">
        <v>20</v>
      </c>
      <c r="C119" t="str">
        <f t="shared" si="1"/>
        <v>31-Dec-21</v>
      </c>
      <c r="D119" t="s">
        <v>21</v>
      </c>
      <c r="E119" t="s">
        <v>22</v>
      </c>
      <c r="F119" t="str">
        <f>"5501906"</f>
        <v>5501906</v>
      </c>
      <c r="G119" t="s">
        <v>144</v>
      </c>
      <c r="I119" t="s">
        <v>103</v>
      </c>
      <c r="J119">
        <v>0.839602791</v>
      </c>
      <c r="K119">
        <v>4414989</v>
      </c>
      <c r="L119">
        <v>32127526.74</v>
      </c>
      <c r="M119">
        <v>24436029.96</v>
      </c>
      <c r="N119">
        <v>5.25</v>
      </c>
      <c r="O119">
        <v>23178692.25</v>
      </c>
      <c r="P119">
        <v>19460894.7</v>
      </c>
      <c r="Q119">
        <v>0</v>
      </c>
      <c r="R119">
        <v>0</v>
      </c>
      <c r="S119">
        <v>0.45</v>
      </c>
      <c r="T119" t="s">
        <v>25</v>
      </c>
    </row>
    <row r="120" spans="1:20" ht="15">
      <c r="A120" t="s">
        <v>19</v>
      </c>
      <c r="B120" t="s">
        <v>20</v>
      </c>
      <c r="C120" t="str">
        <f t="shared" si="1"/>
        <v>31-Dec-21</v>
      </c>
      <c r="D120" t="s">
        <v>21</v>
      </c>
      <c r="E120" t="s">
        <v>22</v>
      </c>
      <c r="F120" t="str">
        <f>"4058061"</f>
        <v>4058061</v>
      </c>
      <c r="G120" t="s">
        <v>145</v>
      </c>
      <c r="I120" t="s">
        <v>103</v>
      </c>
      <c r="J120">
        <v>0.839602791</v>
      </c>
      <c r="K120">
        <v>1484734</v>
      </c>
      <c r="L120">
        <v>87008.56</v>
      </c>
      <c r="M120">
        <v>69225.37</v>
      </c>
      <c r="N120">
        <v>0</v>
      </c>
      <c r="O120">
        <v>148.47</v>
      </c>
      <c r="P120">
        <v>124.66</v>
      </c>
      <c r="Q120">
        <v>0</v>
      </c>
      <c r="R120">
        <v>0</v>
      </c>
      <c r="S120">
        <v>0</v>
      </c>
      <c r="T120" t="s">
        <v>25</v>
      </c>
    </row>
    <row r="121" spans="1:20" ht="15">
      <c r="A121" t="s">
        <v>19</v>
      </c>
      <c r="B121" t="s">
        <v>20</v>
      </c>
      <c r="C121" t="str">
        <f t="shared" si="1"/>
        <v>31-Dec-21</v>
      </c>
      <c r="D121" t="s">
        <v>21</v>
      </c>
      <c r="E121" t="s">
        <v>22</v>
      </c>
      <c r="F121" t="str">
        <f>"5705946"</f>
        <v>5705946</v>
      </c>
      <c r="G121" t="s">
        <v>146</v>
      </c>
      <c r="I121" t="s">
        <v>103</v>
      </c>
      <c r="J121">
        <v>0.839602791</v>
      </c>
      <c r="K121">
        <v>11038386</v>
      </c>
      <c r="L121">
        <v>53891214.95</v>
      </c>
      <c r="M121">
        <v>42180554.37</v>
      </c>
      <c r="N121">
        <v>2.9405</v>
      </c>
      <c r="O121">
        <v>32458374.03</v>
      </c>
      <c r="P121">
        <v>27252141.42</v>
      </c>
      <c r="Q121">
        <v>0</v>
      </c>
      <c r="R121">
        <v>0</v>
      </c>
      <c r="S121">
        <v>0.63</v>
      </c>
      <c r="T121" t="s">
        <v>25</v>
      </c>
    </row>
    <row r="122" spans="1:20" ht="15">
      <c r="A122" t="s">
        <v>19</v>
      </c>
      <c r="B122" t="s">
        <v>20</v>
      </c>
      <c r="C122" t="str">
        <f t="shared" si="1"/>
        <v>31-Dec-21</v>
      </c>
      <c r="D122" t="s">
        <v>21</v>
      </c>
      <c r="E122" t="s">
        <v>22</v>
      </c>
      <c r="F122" t="str">
        <f>"5069211"</f>
        <v>5069211</v>
      </c>
      <c r="G122" t="s">
        <v>147</v>
      </c>
      <c r="I122" t="s">
        <v>103</v>
      </c>
      <c r="J122">
        <v>0.839602791</v>
      </c>
      <c r="K122">
        <v>652610</v>
      </c>
      <c r="L122">
        <v>67907185.54</v>
      </c>
      <c r="M122">
        <v>52592015.11</v>
      </c>
      <c r="N122">
        <v>47</v>
      </c>
      <c r="O122">
        <v>30672670</v>
      </c>
      <c r="P122">
        <v>25752859.33</v>
      </c>
      <c r="Q122">
        <v>0</v>
      </c>
      <c r="R122">
        <v>0</v>
      </c>
      <c r="S122">
        <v>0.595</v>
      </c>
      <c r="T122" t="s">
        <v>25</v>
      </c>
    </row>
    <row r="123" spans="1:20" ht="15">
      <c r="A123" t="s">
        <v>19</v>
      </c>
      <c r="B123" t="s">
        <v>20</v>
      </c>
      <c r="C123" t="str">
        <f t="shared" si="1"/>
        <v>31-Dec-21</v>
      </c>
      <c r="D123" t="s">
        <v>21</v>
      </c>
      <c r="E123" t="s">
        <v>22</v>
      </c>
      <c r="F123" t="str">
        <f>"5756029"</f>
        <v>5756029</v>
      </c>
      <c r="G123" t="s">
        <v>148</v>
      </c>
      <c r="I123" t="s">
        <v>103</v>
      </c>
      <c r="J123">
        <v>0.839602791</v>
      </c>
      <c r="K123">
        <v>211937</v>
      </c>
      <c r="L123">
        <v>19916894.38</v>
      </c>
      <c r="M123">
        <v>15179886.91</v>
      </c>
      <c r="N123">
        <v>88.49</v>
      </c>
      <c r="O123">
        <v>18754305.13</v>
      </c>
      <c r="P123">
        <v>15746166.93</v>
      </c>
      <c r="Q123">
        <v>0</v>
      </c>
      <c r="R123">
        <v>0</v>
      </c>
      <c r="S123">
        <v>0.364</v>
      </c>
      <c r="T123" t="s">
        <v>25</v>
      </c>
    </row>
    <row r="124" spans="1:20" ht="15">
      <c r="A124" t="s">
        <v>19</v>
      </c>
      <c r="B124" t="s">
        <v>20</v>
      </c>
      <c r="C124" t="str">
        <f t="shared" si="1"/>
        <v>31-Dec-21</v>
      </c>
      <c r="D124" t="s">
        <v>21</v>
      </c>
      <c r="E124" t="s">
        <v>22</v>
      </c>
      <c r="F124" t="str">
        <f>"5756030"</f>
        <v>5756030</v>
      </c>
      <c r="G124" t="s">
        <v>149</v>
      </c>
      <c r="I124" t="s">
        <v>103</v>
      </c>
      <c r="J124">
        <v>0.839602791</v>
      </c>
      <c r="K124">
        <v>39693</v>
      </c>
      <c r="L124">
        <v>2650136.95</v>
      </c>
      <c r="M124">
        <v>2063064.02</v>
      </c>
      <c r="N124">
        <v>73.3</v>
      </c>
      <c r="O124">
        <v>2909496.9</v>
      </c>
      <c r="P124">
        <v>2442821.72</v>
      </c>
      <c r="Q124">
        <v>0</v>
      </c>
      <c r="R124">
        <v>0</v>
      </c>
      <c r="S124">
        <v>0.056</v>
      </c>
      <c r="T124" t="s">
        <v>25</v>
      </c>
    </row>
    <row r="125" spans="1:20" ht="15">
      <c r="A125" t="s">
        <v>19</v>
      </c>
      <c r="B125" t="s">
        <v>20</v>
      </c>
      <c r="C125" t="str">
        <f t="shared" si="1"/>
        <v>31-Dec-21</v>
      </c>
      <c r="D125" t="s">
        <v>21</v>
      </c>
      <c r="E125" t="s">
        <v>22</v>
      </c>
      <c r="F125" t="str">
        <f>"5932409"</f>
        <v>5932409</v>
      </c>
      <c r="G125" t="s">
        <v>150</v>
      </c>
      <c r="I125" t="s">
        <v>103</v>
      </c>
      <c r="J125">
        <v>0.839602791</v>
      </c>
      <c r="K125">
        <v>52806</v>
      </c>
      <c r="L125">
        <v>2093320.35</v>
      </c>
      <c r="M125">
        <v>1839022.81</v>
      </c>
      <c r="N125">
        <v>62.94</v>
      </c>
      <c r="O125">
        <v>3323609.64</v>
      </c>
      <c r="P125">
        <v>2790511.93</v>
      </c>
      <c r="Q125">
        <v>0</v>
      </c>
      <c r="R125">
        <v>0</v>
      </c>
      <c r="S125">
        <v>0.064</v>
      </c>
      <c r="T125" t="s">
        <v>25</v>
      </c>
    </row>
    <row r="126" spans="1:20" ht="15">
      <c r="A126" t="s">
        <v>19</v>
      </c>
      <c r="B126" t="s">
        <v>20</v>
      </c>
      <c r="C126" t="str">
        <f t="shared" si="1"/>
        <v>31-Dec-21</v>
      </c>
      <c r="D126" t="s">
        <v>21</v>
      </c>
      <c r="E126" t="s">
        <v>22</v>
      </c>
      <c r="F126" t="str">
        <f>"5107401"</f>
        <v>5107401</v>
      </c>
      <c r="G126" t="s">
        <v>151</v>
      </c>
      <c r="I126" t="s">
        <v>103</v>
      </c>
      <c r="J126">
        <v>0.839602791</v>
      </c>
      <c r="K126">
        <v>67124</v>
      </c>
      <c r="L126">
        <v>5663166.85</v>
      </c>
      <c r="M126">
        <v>4442008.6</v>
      </c>
      <c r="N126">
        <v>90.38</v>
      </c>
      <c r="O126">
        <v>6066667.12</v>
      </c>
      <c r="P126">
        <v>5093590.64</v>
      </c>
      <c r="Q126">
        <v>0</v>
      </c>
      <c r="R126">
        <v>0</v>
      </c>
      <c r="S126">
        <v>0.118</v>
      </c>
      <c r="T126" t="s">
        <v>25</v>
      </c>
    </row>
    <row r="127" spans="1:20" ht="15">
      <c r="A127" t="s">
        <v>19</v>
      </c>
      <c r="B127" t="s">
        <v>20</v>
      </c>
      <c r="C127" t="str">
        <f t="shared" si="1"/>
        <v>31-Dec-21</v>
      </c>
      <c r="D127" t="s">
        <v>21</v>
      </c>
      <c r="E127" t="s">
        <v>22</v>
      </c>
      <c r="F127" t="str">
        <f>"BF0LBX7"</f>
        <v>BF0LBX7</v>
      </c>
      <c r="G127" t="s">
        <v>152</v>
      </c>
      <c r="I127" t="s">
        <v>103</v>
      </c>
      <c r="J127">
        <v>0.839602791</v>
      </c>
      <c r="K127">
        <v>29943</v>
      </c>
      <c r="L127">
        <v>1539922.21</v>
      </c>
      <c r="M127">
        <v>1252004.21</v>
      </c>
      <c r="N127">
        <v>124.9</v>
      </c>
      <c r="O127">
        <v>3739880.7</v>
      </c>
      <c r="P127">
        <v>3140014.27</v>
      </c>
      <c r="Q127">
        <v>0</v>
      </c>
      <c r="R127">
        <v>0</v>
      </c>
      <c r="S127">
        <v>0.073</v>
      </c>
      <c r="T127" t="s">
        <v>25</v>
      </c>
    </row>
    <row r="128" spans="1:20" ht="15">
      <c r="A128" t="s">
        <v>19</v>
      </c>
      <c r="B128" t="s">
        <v>20</v>
      </c>
      <c r="C128" t="str">
        <f t="shared" si="1"/>
        <v>31-Dec-21</v>
      </c>
      <c r="D128" t="s">
        <v>21</v>
      </c>
      <c r="E128" t="s">
        <v>22</v>
      </c>
      <c r="F128" t="str">
        <f>"5474008"</f>
        <v>5474008</v>
      </c>
      <c r="G128" t="s">
        <v>153</v>
      </c>
      <c r="I128" t="s">
        <v>103</v>
      </c>
      <c r="J128">
        <v>0.839602791</v>
      </c>
      <c r="K128">
        <v>443438</v>
      </c>
      <c r="L128">
        <v>2196487.62</v>
      </c>
      <c r="M128">
        <v>1729656.4</v>
      </c>
      <c r="N128">
        <v>4.509</v>
      </c>
      <c r="O128">
        <v>1999461.94</v>
      </c>
      <c r="P128">
        <v>1678753.82</v>
      </c>
      <c r="Q128">
        <v>0</v>
      </c>
      <c r="R128">
        <v>0</v>
      </c>
      <c r="S128">
        <v>0.039</v>
      </c>
      <c r="T128" t="s">
        <v>25</v>
      </c>
    </row>
    <row r="129" spans="1:20" ht="15">
      <c r="A129" t="s">
        <v>19</v>
      </c>
      <c r="B129" t="s">
        <v>20</v>
      </c>
      <c r="C129" t="str">
        <f t="shared" si="1"/>
        <v>31-Dec-21</v>
      </c>
      <c r="D129" t="s">
        <v>21</v>
      </c>
      <c r="E129" t="s">
        <v>22</v>
      </c>
      <c r="F129" t="str">
        <f>"4572709"</f>
        <v>4572709</v>
      </c>
      <c r="G129" t="s">
        <v>154</v>
      </c>
      <c r="I129" t="s">
        <v>103</v>
      </c>
      <c r="J129">
        <v>0.839602791</v>
      </c>
      <c r="K129">
        <v>662102</v>
      </c>
      <c r="L129">
        <v>2914408.67</v>
      </c>
      <c r="M129">
        <v>2204342.4</v>
      </c>
      <c r="N129">
        <v>4.92</v>
      </c>
      <c r="O129">
        <v>3257541.84</v>
      </c>
      <c r="P129">
        <v>2735041.22</v>
      </c>
      <c r="Q129">
        <v>0</v>
      </c>
      <c r="R129">
        <v>0</v>
      </c>
      <c r="S129">
        <v>0.063</v>
      </c>
      <c r="T129" t="s">
        <v>25</v>
      </c>
    </row>
    <row r="130" spans="1:20" ht="15">
      <c r="A130" t="s">
        <v>19</v>
      </c>
      <c r="B130" t="s">
        <v>20</v>
      </c>
      <c r="C130" t="str">
        <f aca="true" t="shared" si="2" ref="C130:C193">"31-Dec-21"</f>
        <v>31-Dec-21</v>
      </c>
      <c r="D130" t="s">
        <v>21</v>
      </c>
      <c r="E130" t="s">
        <v>22</v>
      </c>
      <c r="F130" t="str">
        <f>"4002121"</f>
        <v>4002121</v>
      </c>
      <c r="G130" t="s">
        <v>155</v>
      </c>
      <c r="I130" t="s">
        <v>103</v>
      </c>
      <c r="J130">
        <v>0.839602791</v>
      </c>
      <c r="K130">
        <v>139638</v>
      </c>
      <c r="L130">
        <v>5075170.06</v>
      </c>
      <c r="M130">
        <v>3968075.53</v>
      </c>
      <c r="N130">
        <v>31.49</v>
      </c>
      <c r="O130">
        <v>4397200.62</v>
      </c>
      <c r="P130">
        <v>3691901.91</v>
      </c>
      <c r="Q130">
        <v>0</v>
      </c>
      <c r="R130">
        <v>0</v>
      </c>
      <c r="S130">
        <v>0.085</v>
      </c>
      <c r="T130" t="s">
        <v>25</v>
      </c>
    </row>
    <row r="131" spans="1:20" ht="15">
      <c r="A131" t="s">
        <v>19</v>
      </c>
      <c r="B131" t="s">
        <v>20</v>
      </c>
      <c r="C131" t="str">
        <f t="shared" si="2"/>
        <v>31-Dec-21</v>
      </c>
      <c r="D131" t="s">
        <v>21</v>
      </c>
      <c r="E131" t="s">
        <v>22</v>
      </c>
      <c r="F131" t="str">
        <f>"B4YVF56"</f>
        <v>B4YVF56</v>
      </c>
      <c r="G131" t="s">
        <v>156</v>
      </c>
      <c r="I131" t="s">
        <v>103</v>
      </c>
      <c r="J131">
        <v>0.839602791</v>
      </c>
      <c r="K131">
        <v>103601</v>
      </c>
      <c r="L131">
        <v>5390080.56</v>
      </c>
      <c r="M131">
        <v>4139299.22</v>
      </c>
      <c r="N131">
        <v>79.58</v>
      </c>
      <c r="O131">
        <v>8244567.58</v>
      </c>
      <c r="P131">
        <v>6922161.95</v>
      </c>
      <c r="Q131">
        <v>0</v>
      </c>
      <c r="R131">
        <v>0</v>
      </c>
      <c r="S131">
        <v>0.16</v>
      </c>
      <c r="T131" t="s">
        <v>25</v>
      </c>
    </row>
    <row r="132" spans="1:20" ht="15">
      <c r="A132" t="s">
        <v>19</v>
      </c>
      <c r="B132" t="s">
        <v>20</v>
      </c>
      <c r="C132" t="str">
        <f t="shared" si="2"/>
        <v>31-Dec-21</v>
      </c>
      <c r="D132" t="s">
        <v>21</v>
      </c>
      <c r="E132" t="s">
        <v>22</v>
      </c>
      <c r="F132" t="str">
        <f>"B28DTJ6"</f>
        <v>B28DTJ6</v>
      </c>
      <c r="G132" t="s">
        <v>157</v>
      </c>
      <c r="I132" t="s">
        <v>103</v>
      </c>
      <c r="J132">
        <v>0.839602791</v>
      </c>
      <c r="K132">
        <v>193573</v>
      </c>
      <c r="L132">
        <v>4086125.02</v>
      </c>
      <c r="M132">
        <v>3231321.85</v>
      </c>
      <c r="N132">
        <v>29.18</v>
      </c>
      <c r="O132">
        <v>5648460.14</v>
      </c>
      <c r="P132">
        <v>4742462.9</v>
      </c>
      <c r="Q132">
        <v>0</v>
      </c>
      <c r="R132">
        <v>0</v>
      </c>
      <c r="S132">
        <v>0.11</v>
      </c>
      <c r="T132" t="s">
        <v>25</v>
      </c>
    </row>
    <row r="133" spans="1:20" ht="15">
      <c r="A133" t="s">
        <v>19</v>
      </c>
      <c r="B133" t="s">
        <v>20</v>
      </c>
      <c r="C133" t="str">
        <f t="shared" si="2"/>
        <v>31-Dec-21</v>
      </c>
      <c r="D133" t="s">
        <v>21</v>
      </c>
      <c r="E133" t="s">
        <v>22</v>
      </c>
      <c r="F133" t="str">
        <f>"5782206"</f>
        <v>5782206</v>
      </c>
      <c r="G133" t="s">
        <v>158</v>
      </c>
      <c r="I133" t="s">
        <v>103</v>
      </c>
      <c r="J133">
        <v>0.839602791</v>
      </c>
      <c r="K133">
        <v>57876</v>
      </c>
      <c r="L133">
        <v>1288251.17</v>
      </c>
      <c r="M133">
        <v>1114946.28</v>
      </c>
      <c r="N133">
        <v>18.975</v>
      </c>
      <c r="O133">
        <v>1098197.1</v>
      </c>
      <c r="P133">
        <v>922049.35</v>
      </c>
      <c r="Q133">
        <v>0</v>
      </c>
      <c r="R133">
        <v>0</v>
      </c>
      <c r="S133">
        <v>0.021</v>
      </c>
      <c r="T133" t="s">
        <v>25</v>
      </c>
    </row>
    <row r="134" spans="1:20" ht="15">
      <c r="A134" t="s">
        <v>19</v>
      </c>
      <c r="B134" t="s">
        <v>20</v>
      </c>
      <c r="C134" t="str">
        <f t="shared" si="2"/>
        <v>31-Dec-21</v>
      </c>
      <c r="D134" t="s">
        <v>21</v>
      </c>
      <c r="E134" t="s">
        <v>22</v>
      </c>
      <c r="F134" t="str">
        <f>"BDSV2V0"</f>
        <v>BDSV2V0</v>
      </c>
      <c r="G134" t="s">
        <v>159</v>
      </c>
      <c r="I134" t="s">
        <v>103</v>
      </c>
      <c r="J134">
        <v>0.839602791</v>
      </c>
      <c r="K134">
        <v>644047</v>
      </c>
      <c r="L134">
        <v>5311586.92</v>
      </c>
      <c r="M134">
        <v>4169801.18</v>
      </c>
      <c r="N134">
        <v>17.07</v>
      </c>
      <c r="O134">
        <v>10993882.29</v>
      </c>
      <c r="P134">
        <v>9230494.25</v>
      </c>
      <c r="Q134">
        <v>0</v>
      </c>
      <c r="R134">
        <v>0</v>
      </c>
      <c r="S134">
        <v>0.213</v>
      </c>
      <c r="T134" t="s">
        <v>25</v>
      </c>
    </row>
    <row r="135" spans="1:20" ht="15">
      <c r="A135" t="s">
        <v>19</v>
      </c>
      <c r="B135" t="s">
        <v>20</v>
      </c>
      <c r="C135" t="str">
        <f t="shared" si="2"/>
        <v>31-Dec-21</v>
      </c>
      <c r="D135" t="s">
        <v>21</v>
      </c>
      <c r="E135" t="s">
        <v>22</v>
      </c>
      <c r="F135" t="str">
        <f>"5543986"</f>
        <v>5543986</v>
      </c>
      <c r="G135" t="s">
        <v>160</v>
      </c>
      <c r="I135" t="s">
        <v>103</v>
      </c>
      <c r="J135">
        <v>0.839602791</v>
      </c>
      <c r="K135">
        <v>91240</v>
      </c>
      <c r="L135">
        <v>1480157.72</v>
      </c>
      <c r="M135">
        <v>1117143.68</v>
      </c>
      <c r="N135">
        <v>21.75</v>
      </c>
      <c r="O135">
        <v>1984470</v>
      </c>
      <c r="P135">
        <v>1666166.55</v>
      </c>
      <c r="Q135">
        <v>0</v>
      </c>
      <c r="R135">
        <v>0</v>
      </c>
      <c r="S135">
        <v>0.039</v>
      </c>
      <c r="T135" t="s">
        <v>25</v>
      </c>
    </row>
    <row r="136" spans="1:20" ht="15">
      <c r="A136" t="s">
        <v>19</v>
      </c>
      <c r="B136" t="s">
        <v>20</v>
      </c>
      <c r="C136" t="str">
        <f t="shared" si="2"/>
        <v>31-Dec-21</v>
      </c>
      <c r="D136" t="s">
        <v>21</v>
      </c>
      <c r="E136" t="s">
        <v>22</v>
      </c>
      <c r="F136" t="str">
        <f>"BLF7T27"</f>
        <v>BLF7T27</v>
      </c>
      <c r="G136" t="s">
        <v>161</v>
      </c>
      <c r="I136" t="s">
        <v>103</v>
      </c>
      <c r="J136">
        <v>0.839602791</v>
      </c>
      <c r="K136">
        <v>37344</v>
      </c>
      <c r="L136">
        <v>724231.68</v>
      </c>
      <c r="M136">
        <v>620096.29</v>
      </c>
      <c r="N136">
        <v>18.7</v>
      </c>
      <c r="O136">
        <v>698332.8</v>
      </c>
      <c r="P136">
        <v>586322.17</v>
      </c>
      <c r="Q136">
        <v>0</v>
      </c>
      <c r="R136">
        <v>0</v>
      </c>
      <c r="S136">
        <v>0.014</v>
      </c>
      <c r="T136" t="s">
        <v>25</v>
      </c>
    </row>
    <row r="137" spans="1:20" ht="15">
      <c r="A137" t="s">
        <v>19</v>
      </c>
      <c r="B137" t="s">
        <v>20</v>
      </c>
      <c r="C137" t="str">
        <f t="shared" si="2"/>
        <v>31-Dec-21</v>
      </c>
      <c r="D137" t="s">
        <v>21</v>
      </c>
      <c r="E137" t="s">
        <v>22</v>
      </c>
      <c r="F137" t="str">
        <f>"5881857"</f>
        <v>5881857</v>
      </c>
      <c r="G137" t="s">
        <v>162</v>
      </c>
      <c r="I137" t="s">
        <v>103</v>
      </c>
      <c r="J137">
        <v>0.839602791</v>
      </c>
      <c r="K137">
        <v>38330</v>
      </c>
      <c r="L137">
        <v>1659968.29</v>
      </c>
      <c r="M137">
        <v>1449094.51</v>
      </c>
      <c r="N137">
        <v>64.36</v>
      </c>
      <c r="O137">
        <v>2466918.8</v>
      </c>
      <c r="P137">
        <v>2071231.91</v>
      </c>
      <c r="Q137">
        <v>0</v>
      </c>
      <c r="R137">
        <v>0</v>
      </c>
      <c r="S137">
        <v>0.048</v>
      </c>
      <c r="T137" t="s">
        <v>25</v>
      </c>
    </row>
    <row r="138" spans="1:20" ht="15">
      <c r="A138" t="s">
        <v>19</v>
      </c>
      <c r="B138" t="s">
        <v>20</v>
      </c>
      <c r="C138" t="str">
        <f t="shared" si="2"/>
        <v>31-Dec-21</v>
      </c>
      <c r="D138" t="s">
        <v>21</v>
      </c>
      <c r="E138" t="s">
        <v>22</v>
      </c>
      <c r="F138" t="str">
        <f>"B283W97"</f>
        <v>B283W97</v>
      </c>
      <c r="G138" t="s">
        <v>163</v>
      </c>
      <c r="I138" t="s">
        <v>103</v>
      </c>
      <c r="J138">
        <v>0.839602791</v>
      </c>
      <c r="K138">
        <v>2975905</v>
      </c>
      <c r="L138">
        <v>11469793.14</v>
      </c>
      <c r="M138">
        <v>8997325.29</v>
      </c>
      <c r="N138">
        <v>2.414</v>
      </c>
      <c r="O138">
        <v>7183834.67</v>
      </c>
      <c r="P138">
        <v>6031567.64</v>
      </c>
      <c r="Q138">
        <v>0</v>
      </c>
      <c r="R138">
        <v>0</v>
      </c>
      <c r="S138">
        <v>0.139</v>
      </c>
      <c r="T138" t="s">
        <v>25</v>
      </c>
    </row>
    <row r="139" spans="1:20" ht="15">
      <c r="A139" t="s">
        <v>19</v>
      </c>
      <c r="B139" t="s">
        <v>20</v>
      </c>
      <c r="C139" t="str">
        <f t="shared" si="2"/>
        <v>31-Dec-21</v>
      </c>
      <c r="D139" t="s">
        <v>21</v>
      </c>
      <c r="E139" t="s">
        <v>22</v>
      </c>
      <c r="F139" t="str">
        <f>"4163437"</f>
        <v>4163437</v>
      </c>
      <c r="G139" t="s">
        <v>164</v>
      </c>
      <c r="I139" t="s">
        <v>103</v>
      </c>
      <c r="J139">
        <v>0.839602791</v>
      </c>
      <c r="K139">
        <v>103788</v>
      </c>
      <c r="L139">
        <v>8818426.62</v>
      </c>
      <c r="M139">
        <v>6858578.57</v>
      </c>
      <c r="N139">
        <v>215.5</v>
      </c>
      <c r="O139">
        <v>22366314</v>
      </c>
      <c r="P139">
        <v>18778819.65</v>
      </c>
      <c r="Q139">
        <v>0</v>
      </c>
      <c r="R139">
        <v>0</v>
      </c>
      <c r="S139">
        <v>0.434</v>
      </c>
      <c r="T139" t="s">
        <v>25</v>
      </c>
    </row>
    <row r="140" spans="1:20" ht="15">
      <c r="A140" t="s">
        <v>19</v>
      </c>
      <c r="B140" t="s">
        <v>20</v>
      </c>
      <c r="C140" t="str">
        <f t="shared" si="2"/>
        <v>31-Dec-21</v>
      </c>
      <c r="D140" t="s">
        <v>21</v>
      </c>
      <c r="E140" t="s">
        <v>22</v>
      </c>
      <c r="F140" t="str">
        <f>"5922961"</f>
        <v>5922961</v>
      </c>
      <c r="G140" t="s">
        <v>165</v>
      </c>
      <c r="I140" t="s">
        <v>103</v>
      </c>
      <c r="J140">
        <v>0.839602791</v>
      </c>
      <c r="K140">
        <v>23699</v>
      </c>
      <c r="L140">
        <v>1410854.12</v>
      </c>
      <c r="M140">
        <v>1246678.55</v>
      </c>
      <c r="N140">
        <v>184.85</v>
      </c>
      <c r="O140">
        <v>4380760.15</v>
      </c>
      <c r="P140">
        <v>3678098.45</v>
      </c>
      <c r="Q140">
        <v>0</v>
      </c>
      <c r="R140">
        <v>0</v>
      </c>
      <c r="S140">
        <v>0.085</v>
      </c>
      <c r="T140" t="s">
        <v>25</v>
      </c>
    </row>
    <row r="141" spans="1:20" ht="15">
      <c r="A141" t="s">
        <v>19</v>
      </c>
      <c r="B141" t="s">
        <v>20</v>
      </c>
      <c r="C141" t="str">
        <f t="shared" si="2"/>
        <v>31-Dec-21</v>
      </c>
      <c r="D141" t="s">
        <v>21</v>
      </c>
      <c r="E141" t="s">
        <v>22</v>
      </c>
      <c r="F141" t="str">
        <f>"5641567"</f>
        <v>5641567</v>
      </c>
      <c r="G141" t="s">
        <v>166</v>
      </c>
      <c r="I141" t="s">
        <v>103</v>
      </c>
      <c r="J141">
        <v>0.839602791</v>
      </c>
      <c r="K141">
        <v>374091</v>
      </c>
      <c r="L141">
        <v>8961862.57</v>
      </c>
      <c r="M141">
        <v>6889309.36</v>
      </c>
      <c r="N141">
        <v>16.105</v>
      </c>
      <c r="O141">
        <v>6024735.56</v>
      </c>
      <c r="P141">
        <v>5058384.79</v>
      </c>
      <c r="Q141">
        <v>0</v>
      </c>
      <c r="R141">
        <v>0</v>
      </c>
      <c r="S141">
        <v>0.117</v>
      </c>
      <c r="T141" t="s">
        <v>25</v>
      </c>
    </row>
    <row r="142" spans="1:20" ht="15">
      <c r="A142" t="s">
        <v>19</v>
      </c>
      <c r="B142" t="s">
        <v>20</v>
      </c>
      <c r="C142" t="str">
        <f t="shared" si="2"/>
        <v>31-Dec-21</v>
      </c>
      <c r="D142" t="s">
        <v>21</v>
      </c>
      <c r="E142" t="s">
        <v>22</v>
      </c>
      <c r="F142" t="str">
        <f>"BX90C05"</f>
        <v>BX90C05</v>
      </c>
      <c r="G142" t="s">
        <v>167</v>
      </c>
      <c r="I142" t="s">
        <v>103</v>
      </c>
      <c r="J142">
        <v>0.839602791</v>
      </c>
      <c r="K142">
        <v>403546</v>
      </c>
      <c r="L142">
        <v>14226319.33</v>
      </c>
      <c r="M142">
        <v>12377922.58</v>
      </c>
      <c r="N142">
        <v>51.18</v>
      </c>
      <c r="O142">
        <v>20653484.28</v>
      </c>
      <c r="P142">
        <v>17340723.04</v>
      </c>
      <c r="Q142">
        <v>0</v>
      </c>
      <c r="R142">
        <v>0</v>
      </c>
      <c r="S142">
        <v>0.401</v>
      </c>
      <c r="T142" t="s">
        <v>25</v>
      </c>
    </row>
    <row r="143" spans="1:20" ht="15">
      <c r="A143" t="s">
        <v>19</v>
      </c>
      <c r="B143" t="s">
        <v>20</v>
      </c>
      <c r="C143" t="str">
        <f t="shared" si="2"/>
        <v>31-Dec-21</v>
      </c>
      <c r="D143" t="s">
        <v>21</v>
      </c>
      <c r="E143" t="s">
        <v>22</v>
      </c>
      <c r="F143" t="str">
        <f>"4588364"</f>
        <v>4588364</v>
      </c>
      <c r="G143" t="s">
        <v>168</v>
      </c>
      <c r="I143" t="s">
        <v>103</v>
      </c>
      <c r="J143">
        <v>0.839602791</v>
      </c>
      <c r="K143">
        <v>117142</v>
      </c>
      <c r="L143">
        <v>11818847.4</v>
      </c>
      <c r="M143">
        <v>9131760.4</v>
      </c>
      <c r="N143">
        <v>144.15</v>
      </c>
      <c r="O143">
        <v>16886019.3</v>
      </c>
      <c r="P143">
        <v>14177548.93</v>
      </c>
      <c r="Q143">
        <v>0</v>
      </c>
      <c r="R143">
        <v>0</v>
      </c>
      <c r="S143">
        <v>0.328</v>
      </c>
      <c r="T143" t="s">
        <v>25</v>
      </c>
    </row>
    <row r="144" spans="1:20" ht="15">
      <c r="A144" t="s">
        <v>19</v>
      </c>
      <c r="B144" t="s">
        <v>20</v>
      </c>
      <c r="C144" t="str">
        <f t="shared" si="2"/>
        <v>31-Dec-21</v>
      </c>
      <c r="D144" t="s">
        <v>21</v>
      </c>
      <c r="E144" t="s">
        <v>22</v>
      </c>
      <c r="F144" t="str">
        <f>"B08V9H4"</f>
        <v>B08V9H4</v>
      </c>
      <c r="G144" t="s">
        <v>169</v>
      </c>
      <c r="I144" t="s">
        <v>103</v>
      </c>
      <c r="J144">
        <v>0.839602791</v>
      </c>
      <c r="K144">
        <v>34367</v>
      </c>
      <c r="L144">
        <v>953043.24</v>
      </c>
      <c r="M144">
        <v>815236.24</v>
      </c>
      <c r="N144">
        <v>22.86</v>
      </c>
      <c r="O144">
        <v>785629.62</v>
      </c>
      <c r="P144">
        <v>659616.82</v>
      </c>
      <c r="Q144">
        <v>0</v>
      </c>
      <c r="R144">
        <v>0</v>
      </c>
      <c r="S144">
        <v>0.015</v>
      </c>
      <c r="T144" t="s">
        <v>25</v>
      </c>
    </row>
    <row r="145" spans="1:20" ht="15">
      <c r="A145" t="s">
        <v>19</v>
      </c>
      <c r="B145" t="s">
        <v>20</v>
      </c>
      <c r="C145" t="str">
        <f t="shared" si="2"/>
        <v>31-Dec-21</v>
      </c>
      <c r="D145" t="s">
        <v>21</v>
      </c>
      <c r="E145" t="s">
        <v>22</v>
      </c>
      <c r="F145" t="str">
        <f>"7380482"</f>
        <v>7380482</v>
      </c>
      <c r="G145" t="s">
        <v>170</v>
      </c>
      <c r="I145" t="s">
        <v>103</v>
      </c>
      <c r="J145">
        <v>0.839602791</v>
      </c>
      <c r="K145">
        <v>314484</v>
      </c>
      <c r="L145">
        <v>12352969.15</v>
      </c>
      <c r="M145">
        <v>9650824.5</v>
      </c>
      <c r="N145">
        <v>61.87</v>
      </c>
      <c r="O145">
        <v>19457125.08</v>
      </c>
      <c r="P145">
        <v>16336256.52</v>
      </c>
      <c r="Q145">
        <v>0</v>
      </c>
      <c r="R145">
        <v>0</v>
      </c>
      <c r="S145">
        <v>0.378</v>
      </c>
      <c r="T145" t="s">
        <v>25</v>
      </c>
    </row>
    <row r="146" spans="1:20" ht="15">
      <c r="A146" t="s">
        <v>19</v>
      </c>
      <c r="B146" t="s">
        <v>20</v>
      </c>
      <c r="C146" t="str">
        <f t="shared" si="2"/>
        <v>31-Dec-21</v>
      </c>
      <c r="D146" t="s">
        <v>21</v>
      </c>
      <c r="E146" t="s">
        <v>22</v>
      </c>
      <c r="F146" t="str">
        <f>"B90LKT4"</f>
        <v>B90LKT4</v>
      </c>
      <c r="G146" t="s">
        <v>171</v>
      </c>
      <c r="I146" t="s">
        <v>103</v>
      </c>
      <c r="J146">
        <v>0.839602791</v>
      </c>
      <c r="K146">
        <v>688639</v>
      </c>
      <c r="L146">
        <v>7256262.31</v>
      </c>
      <c r="M146">
        <v>5509759.86</v>
      </c>
      <c r="N146">
        <v>6.689</v>
      </c>
      <c r="O146">
        <v>4606306.27</v>
      </c>
      <c r="P146">
        <v>3867467.6</v>
      </c>
      <c r="Q146">
        <v>0</v>
      </c>
      <c r="R146">
        <v>0</v>
      </c>
      <c r="S146">
        <v>0.089</v>
      </c>
      <c r="T146" t="s">
        <v>25</v>
      </c>
    </row>
    <row r="147" spans="1:20" ht="15">
      <c r="A147" t="s">
        <v>19</v>
      </c>
      <c r="B147" t="s">
        <v>20</v>
      </c>
      <c r="C147" t="str">
        <f t="shared" si="2"/>
        <v>31-Dec-21</v>
      </c>
      <c r="D147" t="s">
        <v>21</v>
      </c>
      <c r="E147" t="s">
        <v>22</v>
      </c>
      <c r="F147" t="str">
        <f>"4598589"</f>
        <v>4598589</v>
      </c>
      <c r="G147" t="s">
        <v>172</v>
      </c>
      <c r="I147" t="s">
        <v>103</v>
      </c>
      <c r="J147">
        <v>0.839602791</v>
      </c>
      <c r="K147">
        <v>69849</v>
      </c>
      <c r="L147">
        <v>12143707.5</v>
      </c>
      <c r="M147">
        <v>9252393.42</v>
      </c>
      <c r="N147">
        <v>93.11</v>
      </c>
      <c r="O147">
        <v>6503640.39</v>
      </c>
      <c r="P147">
        <v>5460474.62</v>
      </c>
      <c r="Q147">
        <v>0</v>
      </c>
      <c r="R147">
        <v>0</v>
      </c>
      <c r="S147">
        <v>0.126</v>
      </c>
      <c r="T147" t="s">
        <v>25</v>
      </c>
    </row>
    <row r="148" spans="1:20" ht="15">
      <c r="A148" t="s">
        <v>19</v>
      </c>
      <c r="B148" t="s">
        <v>20</v>
      </c>
      <c r="C148" t="str">
        <f t="shared" si="2"/>
        <v>31-Dec-21</v>
      </c>
      <c r="D148" t="s">
        <v>21</v>
      </c>
      <c r="E148" t="s">
        <v>22</v>
      </c>
      <c r="F148" t="str">
        <f>"BP7L895"</f>
        <v>BP7L895</v>
      </c>
      <c r="G148" t="s">
        <v>173</v>
      </c>
      <c r="I148" t="s">
        <v>103</v>
      </c>
      <c r="J148">
        <v>0.839602791</v>
      </c>
      <c r="K148">
        <v>22802</v>
      </c>
      <c r="L148">
        <v>690126.52</v>
      </c>
      <c r="M148">
        <v>586612.75</v>
      </c>
      <c r="N148">
        <v>32.58</v>
      </c>
      <c r="O148">
        <v>742889.16</v>
      </c>
      <c r="P148">
        <v>623731.81</v>
      </c>
      <c r="Q148">
        <v>0</v>
      </c>
      <c r="R148">
        <v>0</v>
      </c>
      <c r="S148">
        <v>0.014</v>
      </c>
      <c r="T148" t="s">
        <v>25</v>
      </c>
    </row>
    <row r="149" spans="1:20" ht="15">
      <c r="A149" t="s">
        <v>19</v>
      </c>
      <c r="B149" t="s">
        <v>20</v>
      </c>
      <c r="C149" t="str">
        <f t="shared" si="2"/>
        <v>31-Dec-21</v>
      </c>
      <c r="D149" t="s">
        <v>21</v>
      </c>
      <c r="E149" t="s">
        <v>22</v>
      </c>
      <c r="F149" t="str">
        <f>"BYTBWY9"</f>
        <v>BYTBWY9</v>
      </c>
      <c r="G149" t="s">
        <v>174</v>
      </c>
      <c r="I149" t="s">
        <v>103</v>
      </c>
      <c r="J149">
        <v>0.839602791</v>
      </c>
      <c r="K149">
        <v>118132</v>
      </c>
      <c r="L149">
        <v>7132559.95</v>
      </c>
      <c r="M149">
        <v>6182168.25</v>
      </c>
      <c r="N149">
        <v>54.2</v>
      </c>
      <c r="O149">
        <v>6402754.4</v>
      </c>
      <c r="P149">
        <v>5375770.46</v>
      </c>
      <c r="Q149">
        <v>0</v>
      </c>
      <c r="R149">
        <v>0</v>
      </c>
      <c r="S149">
        <v>0.124</v>
      </c>
      <c r="T149" t="s">
        <v>25</v>
      </c>
    </row>
    <row r="150" spans="1:20" ht="15">
      <c r="A150" t="s">
        <v>19</v>
      </c>
      <c r="B150" t="s">
        <v>20</v>
      </c>
      <c r="C150" t="str">
        <f t="shared" si="2"/>
        <v>31-Dec-21</v>
      </c>
      <c r="D150" t="s">
        <v>21</v>
      </c>
      <c r="E150" t="s">
        <v>22</v>
      </c>
      <c r="F150" t="str">
        <f>"7745638"</f>
        <v>7745638</v>
      </c>
      <c r="G150" t="s">
        <v>175</v>
      </c>
      <c r="I150" t="s">
        <v>103</v>
      </c>
      <c r="J150">
        <v>0.839602791</v>
      </c>
      <c r="K150">
        <v>32944</v>
      </c>
      <c r="L150">
        <v>2625624.31</v>
      </c>
      <c r="M150">
        <v>2076227.67</v>
      </c>
      <c r="N150">
        <v>72.2</v>
      </c>
      <c r="O150">
        <v>2378556.8</v>
      </c>
      <c r="P150">
        <v>1997042.93</v>
      </c>
      <c r="Q150">
        <v>0</v>
      </c>
      <c r="R150">
        <v>0</v>
      </c>
      <c r="S150">
        <v>0.046</v>
      </c>
      <c r="T150" t="s">
        <v>25</v>
      </c>
    </row>
    <row r="151" spans="1:20" ht="15">
      <c r="A151" t="s">
        <v>19</v>
      </c>
      <c r="B151" t="s">
        <v>20</v>
      </c>
      <c r="C151" t="str">
        <f t="shared" si="2"/>
        <v>31-Dec-21</v>
      </c>
      <c r="D151" t="s">
        <v>21</v>
      </c>
      <c r="E151" t="s">
        <v>22</v>
      </c>
      <c r="F151" t="str">
        <f>"7262610"</f>
        <v>7262610</v>
      </c>
      <c r="G151" t="s">
        <v>176</v>
      </c>
      <c r="I151" t="s">
        <v>103</v>
      </c>
      <c r="J151">
        <v>0.839602791</v>
      </c>
      <c r="K151">
        <v>827585</v>
      </c>
      <c r="L151">
        <v>10264364.14</v>
      </c>
      <c r="M151">
        <v>7975769.75</v>
      </c>
      <c r="N151">
        <v>12.55</v>
      </c>
      <c r="O151">
        <v>10386191.75</v>
      </c>
      <c r="P151">
        <v>8720275.58</v>
      </c>
      <c r="Q151">
        <v>0</v>
      </c>
      <c r="R151">
        <v>0</v>
      </c>
      <c r="S151">
        <v>0.202</v>
      </c>
      <c r="T151" t="s">
        <v>25</v>
      </c>
    </row>
    <row r="152" spans="1:20" ht="15">
      <c r="A152" t="s">
        <v>19</v>
      </c>
      <c r="B152" t="s">
        <v>20</v>
      </c>
      <c r="C152" t="str">
        <f t="shared" si="2"/>
        <v>31-Dec-21</v>
      </c>
      <c r="D152" t="s">
        <v>21</v>
      </c>
      <c r="E152" t="s">
        <v>22</v>
      </c>
      <c r="F152" t="str">
        <f>"4247494"</f>
        <v>4247494</v>
      </c>
      <c r="G152" t="s">
        <v>177</v>
      </c>
      <c r="I152" t="s">
        <v>103</v>
      </c>
      <c r="J152">
        <v>0.839602791</v>
      </c>
      <c r="K152">
        <v>14782</v>
      </c>
      <c r="L152">
        <v>1998661.15</v>
      </c>
      <c r="M152">
        <v>1708478.18</v>
      </c>
      <c r="N152">
        <v>171.6</v>
      </c>
      <c r="O152">
        <v>2536591.2</v>
      </c>
      <c r="P152">
        <v>2129729.05</v>
      </c>
      <c r="Q152">
        <v>0</v>
      </c>
      <c r="R152">
        <v>0</v>
      </c>
      <c r="S152">
        <v>0.049</v>
      </c>
      <c r="T152" t="s">
        <v>25</v>
      </c>
    </row>
    <row r="153" spans="1:20" ht="15">
      <c r="A153" t="s">
        <v>19</v>
      </c>
      <c r="B153" t="s">
        <v>20</v>
      </c>
      <c r="C153" t="str">
        <f t="shared" si="2"/>
        <v>31-Dec-21</v>
      </c>
      <c r="D153" t="s">
        <v>21</v>
      </c>
      <c r="E153" t="s">
        <v>22</v>
      </c>
      <c r="F153" t="str">
        <f>"BFMHVQ6"</f>
        <v>BFMHVQ6</v>
      </c>
      <c r="G153" t="s">
        <v>178</v>
      </c>
      <c r="I153" t="s">
        <v>103</v>
      </c>
      <c r="J153">
        <v>0.839602791</v>
      </c>
      <c r="K153">
        <v>25591</v>
      </c>
      <c r="L153">
        <v>693781.63</v>
      </c>
      <c r="M153">
        <v>613961.87</v>
      </c>
      <c r="N153">
        <v>35.48</v>
      </c>
      <c r="O153">
        <v>907968.68</v>
      </c>
      <c r="P153">
        <v>762333.04</v>
      </c>
      <c r="Q153">
        <v>0</v>
      </c>
      <c r="R153">
        <v>0</v>
      </c>
      <c r="S153">
        <v>0.018</v>
      </c>
      <c r="T153" t="s">
        <v>25</v>
      </c>
    </row>
    <row r="154" spans="1:20" ht="15">
      <c r="A154" t="s">
        <v>19</v>
      </c>
      <c r="B154" t="s">
        <v>20</v>
      </c>
      <c r="C154" t="str">
        <f t="shared" si="2"/>
        <v>31-Dec-21</v>
      </c>
      <c r="D154" t="s">
        <v>21</v>
      </c>
      <c r="E154" t="s">
        <v>22</v>
      </c>
      <c r="F154" t="str">
        <f>"5529027"</f>
        <v>5529027</v>
      </c>
      <c r="G154" t="s">
        <v>179</v>
      </c>
      <c r="I154" t="s">
        <v>103</v>
      </c>
      <c r="J154">
        <v>0.839602791</v>
      </c>
      <c r="K154">
        <v>546505</v>
      </c>
      <c r="L154">
        <v>33302484.97</v>
      </c>
      <c r="M154">
        <v>25635455.13</v>
      </c>
      <c r="N154">
        <v>67.59</v>
      </c>
      <c r="O154">
        <v>36938272.95</v>
      </c>
      <c r="P154">
        <v>31013477.06</v>
      </c>
      <c r="Q154">
        <v>0</v>
      </c>
      <c r="R154">
        <v>0</v>
      </c>
      <c r="S154">
        <v>0.717</v>
      </c>
      <c r="T154" t="s">
        <v>25</v>
      </c>
    </row>
    <row r="155" spans="1:20" ht="15">
      <c r="A155" t="s">
        <v>19</v>
      </c>
      <c r="B155" t="s">
        <v>20</v>
      </c>
      <c r="C155" t="str">
        <f t="shared" si="2"/>
        <v>31-Dec-21</v>
      </c>
      <c r="D155" t="s">
        <v>21</v>
      </c>
      <c r="E155" t="s">
        <v>22</v>
      </c>
      <c r="F155" t="str">
        <f>"BP6VLQ4"</f>
        <v>BP6VLQ4</v>
      </c>
      <c r="G155" t="s">
        <v>180</v>
      </c>
      <c r="I155" t="s">
        <v>103</v>
      </c>
      <c r="J155">
        <v>0.839602791</v>
      </c>
      <c r="K155">
        <v>278990</v>
      </c>
      <c r="L155">
        <v>8930469.9</v>
      </c>
      <c r="M155">
        <v>7514566.35</v>
      </c>
      <c r="N155">
        <v>32.29</v>
      </c>
      <c r="O155">
        <v>9008587.1</v>
      </c>
      <c r="P155">
        <v>7563634.87</v>
      </c>
      <c r="Q155">
        <v>0</v>
      </c>
      <c r="R155">
        <v>0</v>
      </c>
      <c r="S155">
        <v>0.175</v>
      </c>
      <c r="T155" t="s">
        <v>25</v>
      </c>
    </row>
    <row r="156" spans="1:20" ht="15">
      <c r="A156" t="s">
        <v>19</v>
      </c>
      <c r="B156" t="s">
        <v>20</v>
      </c>
      <c r="C156" t="str">
        <f t="shared" si="2"/>
        <v>31-Dec-21</v>
      </c>
      <c r="D156" t="s">
        <v>21</v>
      </c>
      <c r="E156" t="s">
        <v>22</v>
      </c>
      <c r="F156" t="str">
        <f>"B1Y9TB3"</f>
        <v>B1Y9TB3</v>
      </c>
      <c r="G156" t="s">
        <v>181</v>
      </c>
      <c r="I156" t="s">
        <v>103</v>
      </c>
      <c r="J156">
        <v>0.839602791</v>
      </c>
      <c r="K156">
        <v>398924</v>
      </c>
      <c r="L156">
        <v>25916181.84</v>
      </c>
      <c r="M156">
        <v>20169579.54</v>
      </c>
      <c r="N156">
        <v>54.59</v>
      </c>
      <c r="O156">
        <v>21777261.16</v>
      </c>
      <c r="P156">
        <v>18284249.25</v>
      </c>
      <c r="Q156">
        <v>0</v>
      </c>
      <c r="R156">
        <v>0</v>
      </c>
      <c r="S156">
        <v>0.423</v>
      </c>
      <c r="T156" t="s">
        <v>25</v>
      </c>
    </row>
    <row r="157" spans="1:20" ht="15">
      <c r="A157" t="s">
        <v>19</v>
      </c>
      <c r="B157" t="s">
        <v>20</v>
      </c>
      <c r="C157" t="str">
        <f t="shared" si="2"/>
        <v>31-Dec-21</v>
      </c>
      <c r="D157" t="s">
        <v>21</v>
      </c>
      <c r="E157" t="s">
        <v>22</v>
      </c>
      <c r="F157" t="str">
        <f>"BMT9L19"</f>
        <v>BMT9L19</v>
      </c>
      <c r="G157" t="s">
        <v>182</v>
      </c>
      <c r="I157" t="s">
        <v>103</v>
      </c>
      <c r="J157">
        <v>0.839602791</v>
      </c>
      <c r="K157">
        <v>13880</v>
      </c>
      <c r="L157">
        <v>1601132</v>
      </c>
      <c r="M157">
        <v>1405451.42</v>
      </c>
      <c r="N157">
        <v>95</v>
      </c>
      <c r="O157">
        <v>1318600</v>
      </c>
      <c r="P157">
        <v>1107100.24</v>
      </c>
      <c r="Q157">
        <v>0</v>
      </c>
      <c r="R157">
        <v>0</v>
      </c>
      <c r="S157">
        <v>0.026</v>
      </c>
      <c r="T157" t="s">
        <v>25</v>
      </c>
    </row>
    <row r="158" spans="1:20" ht="15">
      <c r="A158" t="s">
        <v>19</v>
      </c>
      <c r="B158" t="s">
        <v>20</v>
      </c>
      <c r="C158" t="str">
        <f t="shared" si="2"/>
        <v>31-Dec-21</v>
      </c>
      <c r="D158" t="s">
        <v>21</v>
      </c>
      <c r="E158" t="s">
        <v>22</v>
      </c>
      <c r="F158" t="str">
        <f>"BM8H5Y5"</f>
        <v>BM8H5Y5</v>
      </c>
      <c r="G158" t="s">
        <v>183</v>
      </c>
      <c r="I158" t="s">
        <v>103</v>
      </c>
      <c r="J158">
        <v>0.839602791</v>
      </c>
      <c r="K158">
        <v>443237</v>
      </c>
      <c r="L158">
        <v>8049258.16</v>
      </c>
      <c r="M158">
        <v>6461844.37</v>
      </c>
      <c r="N158">
        <v>52.31</v>
      </c>
      <c r="O158">
        <v>23185727.47</v>
      </c>
      <c r="P158">
        <v>19466801.49</v>
      </c>
      <c r="Q158">
        <v>0</v>
      </c>
      <c r="R158">
        <v>0</v>
      </c>
      <c r="S158">
        <v>0.45</v>
      </c>
      <c r="T158" t="s">
        <v>25</v>
      </c>
    </row>
    <row r="159" spans="1:20" ht="15">
      <c r="A159" t="s">
        <v>19</v>
      </c>
      <c r="B159" t="s">
        <v>20</v>
      </c>
      <c r="C159" t="str">
        <f t="shared" si="2"/>
        <v>31-Dec-21</v>
      </c>
      <c r="D159" t="s">
        <v>21</v>
      </c>
      <c r="E159" t="s">
        <v>22</v>
      </c>
      <c r="F159" t="str">
        <f>"BMQ5W17"</f>
        <v>BMQ5W17</v>
      </c>
      <c r="G159" t="s">
        <v>184</v>
      </c>
      <c r="I159" t="s">
        <v>103</v>
      </c>
      <c r="J159">
        <v>0.839602791</v>
      </c>
      <c r="K159">
        <v>328057</v>
      </c>
      <c r="L159">
        <v>1939741.88</v>
      </c>
      <c r="M159">
        <v>1648536.97</v>
      </c>
      <c r="N159">
        <v>12.855</v>
      </c>
      <c r="O159">
        <v>4217172.74</v>
      </c>
      <c r="P159">
        <v>3540750</v>
      </c>
      <c r="Q159">
        <v>0</v>
      </c>
      <c r="R159">
        <v>0</v>
      </c>
      <c r="S159">
        <v>0.082</v>
      </c>
      <c r="T159" t="s">
        <v>25</v>
      </c>
    </row>
    <row r="160" spans="1:20" ht="15">
      <c r="A160" t="s">
        <v>19</v>
      </c>
      <c r="B160" t="s">
        <v>20</v>
      </c>
      <c r="C160" t="str">
        <f t="shared" si="2"/>
        <v>31-Dec-21</v>
      </c>
      <c r="D160" t="s">
        <v>21</v>
      </c>
      <c r="E160" t="s">
        <v>22</v>
      </c>
      <c r="F160" t="str">
        <f>"7169517"</f>
        <v>7169517</v>
      </c>
      <c r="G160" t="s">
        <v>185</v>
      </c>
      <c r="I160" t="s">
        <v>103</v>
      </c>
      <c r="J160">
        <v>0.839602791</v>
      </c>
      <c r="K160">
        <v>45620</v>
      </c>
      <c r="L160">
        <v>1555681.78</v>
      </c>
      <c r="M160">
        <v>1328219.76</v>
      </c>
      <c r="N160">
        <v>31.52</v>
      </c>
      <c r="O160">
        <v>1437942.4</v>
      </c>
      <c r="P160">
        <v>1207300.45</v>
      </c>
      <c r="Q160">
        <v>0</v>
      </c>
      <c r="R160">
        <v>0</v>
      </c>
      <c r="S160">
        <v>0.028</v>
      </c>
      <c r="T160" t="s">
        <v>25</v>
      </c>
    </row>
    <row r="161" spans="1:20" ht="15">
      <c r="A161" t="s">
        <v>19</v>
      </c>
      <c r="B161" t="s">
        <v>20</v>
      </c>
      <c r="C161" t="str">
        <f t="shared" si="2"/>
        <v>31-Dec-21</v>
      </c>
      <c r="D161" t="s">
        <v>21</v>
      </c>
      <c r="E161" t="s">
        <v>22</v>
      </c>
      <c r="F161" t="str">
        <f>"BZCNB42"</f>
        <v>BZCNB42</v>
      </c>
      <c r="G161" t="s">
        <v>186</v>
      </c>
      <c r="I161" t="s">
        <v>103</v>
      </c>
      <c r="J161">
        <v>0.839602791</v>
      </c>
      <c r="K161">
        <v>123535</v>
      </c>
      <c r="L161">
        <v>7826187.39</v>
      </c>
      <c r="M161">
        <v>6855767.93</v>
      </c>
      <c r="N161">
        <v>98</v>
      </c>
      <c r="O161">
        <v>12106430</v>
      </c>
      <c r="P161">
        <v>10164592.41</v>
      </c>
      <c r="Q161">
        <v>0</v>
      </c>
      <c r="R161">
        <v>0</v>
      </c>
      <c r="S161">
        <v>0.235</v>
      </c>
      <c r="T161" t="s">
        <v>25</v>
      </c>
    </row>
    <row r="162" spans="1:20" ht="15">
      <c r="A162" t="s">
        <v>19</v>
      </c>
      <c r="B162" t="s">
        <v>20</v>
      </c>
      <c r="C162" t="str">
        <f t="shared" si="2"/>
        <v>31-Dec-21</v>
      </c>
      <c r="D162" t="s">
        <v>21</v>
      </c>
      <c r="E162" t="s">
        <v>22</v>
      </c>
      <c r="F162" t="str">
        <f>"5750355"</f>
        <v>5750355</v>
      </c>
      <c r="G162" t="s">
        <v>187</v>
      </c>
      <c r="I162" t="s">
        <v>103</v>
      </c>
      <c r="J162">
        <v>0.839602791</v>
      </c>
      <c r="K162">
        <v>1338914</v>
      </c>
      <c r="L162">
        <v>25001680.68</v>
      </c>
      <c r="M162">
        <v>19461370.44</v>
      </c>
      <c r="N162">
        <v>11.018</v>
      </c>
      <c r="O162">
        <v>14752154.45</v>
      </c>
      <c r="P162">
        <v>12385950.05</v>
      </c>
      <c r="Q162">
        <v>0</v>
      </c>
      <c r="R162">
        <v>0</v>
      </c>
      <c r="S162">
        <v>0.286</v>
      </c>
      <c r="T162" t="s">
        <v>25</v>
      </c>
    </row>
    <row r="163" spans="1:20" ht="15">
      <c r="A163" t="s">
        <v>19</v>
      </c>
      <c r="B163" t="s">
        <v>20</v>
      </c>
      <c r="C163" t="str">
        <f t="shared" si="2"/>
        <v>31-Dec-21</v>
      </c>
      <c r="D163" t="s">
        <v>21</v>
      </c>
      <c r="E163" t="s">
        <v>22</v>
      </c>
      <c r="F163" t="str">
        <f>"7021963"</f>
        <v>7021963</v>
      </c>
      <c r="G163" t="s">
        <v>188</v>
      </c>
      <c r="I163" t="s">
        <v>103</v>
      </c>
      <c r="J163">
        <v>0.839602791</v>
      </c>
      <c r="K163">
        <v>122363</v>
      </c>
      <c r="L163">
        <v>11055877.75</v>
      </c>
      <c r="M163">
        <v>8826370.74</v>
      </c>
      <c r="N163">
        <v>147.1</v>
      </c>
      <c r="O163">
        <v>17999597.3</v>
      </c>
      <c r="P163">
        <v>15112512.13</v>
      </c>
      <c r="Q163">
        <v>0</v>
      </c>
      <c r="R163">
        <v>0</v>
      </c>
      <c r="S163">
        <v>0.349</v>
      </c>
      <c r="T163" t="s">
        <v>25</v>
      </c>
    </row>
    <row r="164" spans="1:20" ht="15">
      <c r="A164" t="s">
        <v>19</v>
      </c>
      <c r="B164" t="s">
        <v>20</v>
      </c>
      <c r="C164" t="str">
        <f t="shared" si="2"/>
        <v>31-Dec-21</v>
      </c>
      <c r="D164" t="s">
        <v>21</v>
      </c>
      <c r="E164" t="s">
        <v>22</v>
      </c>
      <c r="F164" t="str">
        <f>"5287488"</f>
        <v>5287488</v>
      </c>
      <c r="G164" t="s">
        <v>189</v>
      </c>
      <c r="I164" t="s">
        <v>103</v>
      </c>
      <c r="J164">
        <v>0.839602791</v>
      </c>
      <c r="K164">
        <v>321139</v>
      </c>
      <c r="L164">
        <v>2551659.47</v>
      </c>
      <c r="M164">
        <v>2100962.02</v>
      </c>
      <c r="N164">
        <v>6.18</v>
      </c>
      <c r="O164">
        <v>1984639.02</v>
      </c>
      <c r="P164">
        <v>1666308.46</v>
      </c>
      <c r="Q164">
        <v>0</v>
      </c>
      <c r="R164">
        <v>0</v>
      </c>
      <c r="S164">
        <v>0.039</v>
      </c>
      <c r="T164" t="s">
        <v>25</v>
      </c>
    </row>
    <row r="165" spans="1:20" ht="15">
      <c r="A165" t="s">
        <v>19</v>
      </c>
      <c r="B165" t="s">
        <v>20</v>
      </c>
      <c r="C165" t="str">
        <f t="shared" si="2"/>
        <v>31-Dec-21</v>
      </c>
      <c r="D165" t="s">
        <v>21</v>
      </c>
      <c r="E165" t="s">
        <v>22</v>
      </c>
      <c r="F165" t="str">
        <f>"4617859"</f>
        <v>4617859</v>
      </c>
      <c r="G165" t="s">
        <v>190</v>
      </c>
      <c r="I165" t="s">
        <v>103</v>
      </c>
      <c r="J165">
        <v>0.839602791</v>
      </c>
      <c r="K165">
        <v>639675</v>
      </c>
      <c r="L165">
        <v>19292949.06</v>
      </c>
      <c r="M165">
        <v>15071781.75</v>
      </c>
      <c r="N165">
        <v>56.54</v>
      </c>
      <c r="O165">
        <v>36167224.5</v>
      </c>
      <c r="P165">
        <v>30366102.63</v>
      </c>
      <c r="Q165">
        <v>0</v>
      </c>
      <c r="R165">
        <v>0</v>
      </c>
      <c r="S165">
        <v>0.702</v>
      </c>
      <c r="T165" t="s">
        <v>25</v>
      </c>
    </row>
    <row r="166" spans="1:20" ht="15">
      <c r="A166" t="s">
        <v>19</v>
      </c>
      <c r="B166" t="s">
        <v>20</v>
      </c>
      <c r="C166" t="str">
        <f t="shared" si="2"/>
        <v>31-Dec-21</v>
      </c>
      <c r="D166" t="s">
        <v>21</v>
      </c>
      <c r="E166" t="s">
        <v>22</v>
      </c>
      <c r="F166" t="str">
        <f>"5842359"</f>
        <v>5842359</v>
      </c>
      <c r="G166" t="s">
        <v>191</v>
      </c>
      <c r="I166" t="s">
        <v>103</v>
      </c>
      <c r="J166">
        <v>0.839602791</v>
      </c>
      <c r="K166">
        <v>2187963</v>
      </c>
      <c r="L166">
        <v>34534080.53</v>
      </c>
      <c r="M166">
        <v>26905007.04</v>
      </c>
      <c r="N166">
        <v>16.3</v>
      </c>
      <c r="O166">
        <v>35663796.9</v>
      </c>
      <c r="P166">
        <v>29943423.41</v>
      </c>
      <c r="Q166">
        <v>0</v>
      </c>
      <c r="R166">
        <v>0</v>
      </c>
      <c r="S166">
        <v>0.692</v>
      </c>
      <c r="T166" t="s">
        <v>25</v>
      </c>
    </row>
    <row r="167" spans="1:20" ht="15">
      <c r="A167" t="s">
        <v>19</v>
      </c>
      <c r="B167" t="s">
        <v>20</v>
      </c>
      <c r="C167" t="str">
        <f t="shared" si="2"/>
        <v>31-Dec-21</v>
      </c>
      <c r="D167" t="s">
        <v>21</v>
      </c>
      <c r="E167" t="s">
        <v>22</v>
      </c>
      <c r="F167" t="str">
        <f>"B0YZ0Z5"</f>
        <v>B0YZ0Z5</v>
      </c>
      <c r="G167" t="s">
        <v>192</v>
      </c>
      <c r="I167" t="s">
        <v>103</v>
      </c>
      <c r="J167">
        <v>0.839602791</v>
      </c>
      <c r="K167">
        <v>28264</v>
      </c>
      <c r="L167">
        <v>1295032.79</v>
      </c>
      <c r="M167">
        <v>1095836.68</v>
      </c>
      <c r="N167">
        <v>36.98</v>
      </c>
      <c r="O167">
        <v>1045202.72</v>
      </c>
      <c r="P167">
        <v>877555.12</v>
      </c>
      <c r="Q167">
        <v>0</v>
      </c>
      <c r="R167">
        <v>0</v>
      </c>
      <c r="S167">
        <v>0.02</v>
      </c>
      <c r="T167" t="s">
        <v>25</v>
      </c>
    </row>
    <row r="168" spans="1:20" ht="15">
      <c r="A168" t="s">
        <v>19</v>
      </c>
      <c r="B168" t="s">
        <v>20</v>
      </c>
      <c r="C168" t="str">
        <f t="shared" si="2"/>
        <v>31-Dec-21</v>
      </c>
      <c r="D168" t="s">
        <v>21</v>
      </c>
      <c r="E168" t="s">
        <v>22</v>
      </c>
      <c r="F168" t="str">
        <f>"B234WN9"</f>
        <v>B234WN9</v>
      </c>
      <c r="G168" t="s">
        <v>193</v>
      </c>
      <c r="I168" t="s">
        <v>103</v>
      </c>
      <c r="J168">
        <v>0.839602791</v>
      </c>
      <c r="K168">
        <v>15311</v>
      </c>
      <c r="L168">
        <v>1621833.13</v>
      </c>
      <c r="M168">
        <v>1425441.7</v>
      </c>
      <c r="N168">
        <v>167.45</v>
      </c>
      <c r="O168">
        <v>2563826.95</v>
      </c>
      <c r="P168">
        <v>2152596.26</v>
      </c>
      <c r="Q168">
        <v>0</v>
      </c>
      <c r="R168">
        <v>0</v>
      </c>
      <c r="S168">
        <v>0.05</v>
      </c>
      <c r="T168" t="s">
        <v>25</v>
      </c>
    </row>
    <row r="169" spans="1:20" ht="15">
      <c r="A169" t="s">
        <v>19</v>
      </c>
      <c r="B169" t="s">
        <v>20</v>
      </c>
      <c r="C169" t="str">
        <f t="shared" si="2"/>
        <v>31-Dec-21</v>
      </c>
      <c r="D169" t="s">
        <v>21</v>
      </c>
      <c r="E169" t="s">
        <v>22</v>
      </c>
      <c r="F169" t="str">
        <f>"4942904"</f>
        <v>4942904</v>
      </c>
      <c r="G169" t="s">
        <v>194</v>
      </c>
      <c r="I169" t="s">
        <v>103</v>
      </c>
      <c r="J169">
        <v>0.839602791</v>
      </c>
      <c r="K169">
        <v>1422537</v>
      </c>
      <c r="L169">
        <v>15511183.46</v>
      </c>
      <c r="M169">
        <v>12030505.17</v>
      </c>
      <c r="N169">
        <v>12.192</v>
      </c>
      <c r="O169">
        <v>17343571.1</v>
      </c>
      <c r="P169">
        <v>14561710.7</v>
      </c>
      <c r="Q169">
        <v>0</v>
      </c>
      <c r="R169">
        <v>0</v>
      </c>
      <c r="S169">
        <v>0.337</v>
      </c>
      <c r="T169" t="s">
        <v>25</v>
      </c>
    </row>
    <row r="170" spans="1:20" ht="15">
      <c r="A170" t="s">
        <v>19</v>
      </c>
      <c r="B170" t="s">
        <v>20</v>
      </c>
      <c r="C170" t="str">
        <f t="shared" si="2"/>
        <v>31-Dec-21</v>
      </c>
      <c r="D170" t="s">
        <v>21</v>
      </c>
      <c r="E170" t="s">
        <v>22</v>
      </c>
      <c r="F170" t="str">
        <f>"4103596"</f>
        <v>4103596</v>
      </c>
      <c r="G170" t="s">
        <v>195</v>
      </c>
      <c r="I170" t="s">
        <v>103</v>
      </c>
      <c r="J170">
        <v>0.839602791</v>
      </c>
      <c r="K170">
        <v>1892359</v>
      </c>
      <c r="L170">
        <v>6534758.08</v>
      </c>
      <c r="M170">
        <v>5241201.95</v>
      </c>
      <c r="N170">
        <v>4.832</v>
      </c>
      <c r="O170">
        <v>9143878.69</v>
      </c>
      <c r="P170">
        <v>7677226.07</v>
      </c>
      <c r="Q170">
        <v>0</v>
      </c>
      <c r="R170">
        <v>0</v>
      </c>
      <c r="S170">
        <v>0.177</v>
      </c>
      <c r="T170" t="s">
        <v>25</v>
      </c>
    </row>
    <row r="171" spans="1:20" ht="15">
      <c r="A171" t="s">
        <v>19</v>
      </c>
      <c r="B171" t="s">
        <v>20</v>
      </c>
      <c r="C171" t="str">
        <f t="shared" si="2"/>
        <v>31-Dec-21</v>
      </c>
      <c r="D171" t="s">
        <v>21</v>
      </c>
      <c r="E171" t="s">
        <v>22</v>
      </c>
      <c r="F171" t="str">
        <f>"B39GNW2"</f>
        <v>B39GNW2</v>
      </c>
      <c r="G171" t="s">
        <v>196</v>
      </c>
      <c r="I171" t="s">
        <v>103</v>
      </c>
      <c r="J171">
        <v>0.839602791</v>
      </c>
      <c r="K171">
        <v>158323</v>
      </c>
      <c r="L171">
        <v>1699713.21</v>
      </c>
      <c r="M171">
        <v>1384484.43</v>
      </c>
      <c r="N171">
        <v>21.9</v>
      </c>
      <c r="O171">
        <v>3467273.7</v>
      </c>
      <c r="P171">
        <v>2911132.67</v>
      </c>
      <c r="Q171">
        <v>0</v>
      </c>
      <c r="R171">
        <v>0</v>
      </c>
      <c r="S171">
        <v>0.067</v>
      </c>
      <c r="T171" t="s">
        <v>25</v>
      </c>
    </row>
    <row r="172" spans="1:20" ht="15">
      <c r="A172" t="s">
        <v>19</v>
      </c>
      <c r="B172" t="s">
        <v>20</v>
      </c>
      <c r="C172" t="str">
        <f t="shared" si="2"/>
        <v>31-Dec-21</v>
      </c>
      <c r="D172" t="s">
        <v>21</v>
      </c>
      <c r="E172" t="s">
        <v>22</v>
      </c>
      <c r="F172" t="str">
        <f>"BYSLCX9"</f>
        <v>BYSLCX9</v>
      </c>
      <c r="G172" t="s">
        <v>197</v>
      </c>
      <c r="I172" t="s">
        <v>103</v>
      </c>
      <c r="J172">
        <v>0.839602791</v>
      </c>
      <c r="K172">
        <v>68007</v>
      </c>
      <c r="L172">
        <v>2947983.47</v>
      </c>
      <c r="M172">
        <v>2270412.26</v>
      </c>
      <c r="N172">
        <v>78.96</v>
      </c>
      <c r="O172">
        <v>5369832.72</v>
      </c>
      <c r="P172">
        <v>4508526.54</v>
      </c>
      <c r="Q172">
        <v>0</v>
      </c>
      <c r="R172">
        <v>0</v>
      </c>
      <c r="S172">
        <v>0.104</v>
      </c>
      <c r="T172" t="s">
        <v>25</v>
      </c>
    </row>
    <row r="173" spans="1:20" ht="15">
      <c r="A173" t="s">
        <v>19</v>
      </c>
      <c r="B173" t="s">
        <v>20</v>
      </c>
      <c r="C173" t="str">
        <f t="shared" si="2"/>
        <v>31-Dec-21</v>
      </c>
      <c r="D173" t="s">
        <v>21</v>
      </c>
      <c r="E173" t="s">
        <v>22</v>
      </c>
      <c r="F173" t="str">
        <f>"B62G1B5"</f>
        <v>B62G1B5</v>
      </c>
      <c r="G173" t="s">
        <v>198</v>
      </c>
      <c r="I173" t="s">
        <v>103</v>
      </c>
      <c r="J173">
        <v>0.839602791</v>
      </c>
      <c r="K173">
        <v>164889</v>
      </c>
      <c r="L173">
        <v>4510292.4</v>
      </c>
      <c r="M173">
        <v>3655260.65</v>
      </c>
      <c r="N173">
        <v>40.57</v>
      </c>
      <c r="O173">
        <v>6689546.73</v>
      </c>
      <c r="P173">
        <v>5616562.1</v>
      </c>
      <c r="Q173">
        <v>0</v>
      </c>
      <c r="R173">
        <v>0</v>
      </c>
      <c r="S173">
        <v>0.13</v>
      </c>
      <c r="T173" t="s">
        <v>25</v>
      </c>
    </row>
    <row r="174" spans="1:20" ht="15">
      <c r="A174" t="s">
        <v>19</v>
      </c>
      <c r="B174" t="s">
        <v>20</v>
      </c>
      <c r="C174" t="str">
        <f t="shared" si="2"/>
        <v>31-Dec-21</v>
      </c>
      <c r="D174" t="s">
        <v>21</v>
      </c>
      <c r="E174" t="s">
        <v>22</v>
      </c>
      <c r="F174" t="str">
        <f>"B13X013"</f>
        <v>B13X013</v>
      </c>
      <c r="G174" t="s">
        <v>199</v>
      </c>
      <c r="I174" t="s">
        <v>103</v>
      </c>
      <c r="J174">
        <v>0.839602791</v>
      </c>
      <c r="K174">
        <v>51213</v>
      </c>
      <c r="L174">
        <v>3416213.52</v>
      </c>
      <c r="M174">
        <v>2702317.32</v>
      </c>
      <c r="N174">
        <v>90.46</v>
      </c>
      <c r="O174">
        <v>4632727.98</v>
      </c>
      <c r="P174">
        <v>3889651.34</v>
      </c>
      <c r="Q174">
        <v>0</v>
      </c>
      <c r="R174">
        <v>0</v>
      </c>
      <c r="S174">
        <v>0.09</v>
      </c>
      <c r="T174" t="s">
        <v>25</v>
      </c>
    </row>
    <row r="175" spans="1:20" ht="15">
      <c r="A175" t="s">
        <v>19</v>
      </c>
      <c r="B175" t="s">
        <v>20</v>
      </c>
      <c r="C175" t="str">
        <f t="shared" si="2"/>
        <v>31-Dec-21</v>
      </c>
      <c r="D175" t="s">
        <v>21</v>
      </c>
      <c r="E175" t="s">
        <v>22</v>
      </c>
      <c r="F175" t="str">
        <f>"B0NJJ17"</f>
        <v>B0NJJ17</v>
      </c>
      <c r="G175" t="s">
        <v>200</v>
      </c>
      <c r="I175" t="s">
        <v>103</v>
      </c>
      <c r="J175">
        <v>0.839602791</v>
      </c>
      <c r="K175">
        <v>345387</v>
      </c>
      <c r="L175">
        <v>4685323.5</v>
      </c>
      <c r="M175">
        <v>3738927.57</v>
      </c>
      <c r="N175">
        <v>10.33</v>
      </c>
      <c r="O175">
        <v>3567847.71</v>
      </c>
      <c r="P175">
        <v>2995574.89</v>
      </c>
      <c r="Q175">
        <v>0</v>
      </c>
      <c r="R175">
        <v>0</v>
      </c>
      <c r="S175">
        <v>0.069</v>
      </c>
      <c r="T175" t="s">
        <v>25</v>
      </c>
    </row>
    <row r="176" spans="1:20" ht="15">
      <c r="A176" t="s">
        <v>19</v>
      </c>
      <c r="B176" t="s">
        <v>20</v>
      </c>
      <c r="C176" t="str">
        <f t="shared" si="2"/>
        <v>31-Dec-21</v>
      </c>
      <c r="D176" t="s">
        <v>21</v>
      </c>
      <c r="E176" t="s">
        <v>22</v>
      </c>
      <c r="F176" t="str">
        <f>"B09M9F4"</f>
        <v>B09M9F4</v>
      </c>
      <c r="G176" t="s">
        <v>201</v>
      </c>
      <c r="I176" t="s">
        <v>103</v>
      </c>
      <c r="J176">
        <v>0.839602791</v>
      </c>
      <c r="K176">
        <v>23865</v>
      </c>
      <c r="L176">
        <v>2151510.16</v>
      </c>
      <c r="M176">
        <v>1885219.75</v>
      </c>
      <c r="N176">
        <v>115.7</v>
      </c>
      <c r="O176">
        <v>2761180.5</v>
      </c>
      <c r="P176">
        <v>2318294.85</v>
      </c>
      <c r="Q176">
        <v>0</v>
      </c>
      <c r="R176">
        <v>0</v>
      </c>
      <c r="S176">
        <v>0.054</v>
      </c>
      <c r="T176" t="s">
        <v>25</v>
      </c>
    </row>
    <row r="177" spans="1:20" ht="15">
      <c r="A177" t="s">
        <v>19</v>
      </c>
      <c r="B177" t="s">
        <v>20</v>
      </c>
      <c r="C177" t="str">
        <f t="shared" si="2"/>
        <v>31-Dec-21</v>
      </c>
      <c r="D177" t="s">
        <v>21</v>
      </c>
      <c r="E177" t="s">
        <v>22</v>
      </c>
      <c r="F177" t="str">
        <f>"5701513"</f>
        <v>5701513</v>
      </c>
      <c r="G177" t="s">
        <v>202</v>
      </c>
      <c r="I177" t="s">
        <v>103</v>
      </c>
      <c r="J177">
        <v>0.839602791</v>
      </c>
      <c r="K177">
        <v>94387</v>
      </c>
      <c r="L177">
        <v>3315684.72</v>
      </c>
      <c r="M177">
        <v>2665316.62</v>
      </c>
      <c r="N177">
        <v>54.12</v>
      </c>
      <c r="O177">
        <v>5108224.44</v>
      </c>
      <c r="P177">
        <v>4288879.5</v>
      </c>
      <c r="Q177">
        <v>0</v>
      </c>
      <c r="R177">
        <v>0</v>
      </c>
      <c r="S177">
        <v>0.099</v>
      </c>
      <c r="T177" t="s">
        <v>25</v>
      </c>
    </row>
    <row r="178" spans="1:20" ht="15">
      <c r="A178" t="s">
        <v>19</v>
      </c>
      <c r="B178" t="s">
        <v>20</v>
      </c>
      <c r="C178" t="str">
        <f t="shared" si="2"/>
        <v>31-Dec-21</v>
      </c>
      <c r="D178" t="s">
        <v>21</v>
      </c>
      <c r="E178" t="s">
        <v>22</v>
      </c>
      <c r="F178" t="str">
        <f>"7383072"</f>
        <v>7383072</v>
      </c>
      <c r="G178" t="s">
        <v>203</v>
      </c>
      <c r="I178" t="s">
        <v>103</v>
      </c>
      <c r="J178">
        <v>0.839602791</v>
      </c>
      <c r="K178">
        <v>160330</v>
      </c>
      <c r="L178">
        <v>4125884.48</v>
      </c>
      <c r="M178">
        <v>3175317.22</v>
      </c>
      <c r="N178">
        <v>20.4</v>
      </c>
      <c r="O178">
        <v>3270732</v>
      </c>
      <c r="P178">
        <v>2746115.72</v>
      </c>
      <c r="Q178">
        <v>0</v>
      </c>
      <c r="R178">
        <v>0</v>
      </c>
      <c r="S178">
        <v>0.063</v>
      </c>
      <c r="T178" t="s">
        <v>25</v>
      </c>
    </row>
    <row r="179" spans="1:20" ht="15">
      <c r="A179" t="s">
        <v>19</v>
      </c>
      <c r="B179" t="s">
        <v>20</v>
      </c>
      <c r="C179" t="str">
        <f t="shared" si="2"/>
        <v>31-Dec-21</v>
      </c>
      <c r="D179" t="s">
        <v>21</v>
      </c>
      <c r="E179" t="s">
        <v>22</v>
      </c>
      <c r="F179" t="str">
        <f>"5271782"</f>
        <v>5271782</v>
      </c>
      <c r="G179" t="s">
        <v>204</v>
      </c>
      <c r="I179" t="s">
        <v>103</v>
      </c>
      <c r="J179">
        <v>0.839602791</v>
      </c>
      <c r="K179">
        <v>208602</v>
      </c>
      <c r="L179">
        <v>3976588.18</v>
      </c>
      <c r="M179">
        <v>3097372.26</v>
      </c>
      <c r="N179">
        <v>20.2</v>
      </c>
      <c r="O179">
        <v>4213760.4</v>
      </c>
      <c r="P179">
        <v>3537884.99</v>
      </c>
      <c r="Q179">
        <v>68431.89</v>
      </c>
      <c r="R179">
        <v>57455.6</v>
      </c>
      <c r="S179">
        <v>0.083</v>
      </c>
      <c r="T179" t="s">
        <v>25</v>
      </c>
    </row>
    <row r="180" spans="1:20" ht="15">
      <c r="A180" t="s">
        <v>19</v>
      </c>
      <c r="B180" t="s">
        <v>20</v>
      </c>
      <c r="C180" t="str">
        <f t="shared" si="2"/>
        <v>31-Dec-21</v>
      </c>
      <c r="D180" t="s">
        <v>21</v>
      </c>
      <c r="E180" t="s">
        <v>22</v>
      </c>
      <c r="F180" t="str">
        <f>"7144569"</f>
        <v>7144569</v>
      </c>
      <c r="G180" t="s">
        <v>205</v>
      </c>
      <c r="I180" t="s">
        <v>103</v>
      </c>
      <c r="J180">
        <v>0.839602791</v>
      </c>
      <c r="K180">
        <v>5133124</v>
      </c>
      <c r="L180">
        <v>23950725.87</v>
      </c>
      <c r="M180">
        <v>18812236.19</v>
      </c>
      <c r="N180">
        <v>7.046</v>
      </c>
      <c r="O180">
        <v>36167991.7</v>
      </c>
      <c r="P180">
        <v>30366746.77</v>
      </c>
      <c r="Q180">
        <v>0</v>
      </c>
      <c r="R180">
        <v>0</v>
      </c>
      <c r="S180">
        <v>0.702</v>
      </c>
      <c r="T180" t="s">
        <v>25</v>
      </c>
    </row>
    <row r="181" spans="1:20" ht="15">
      <c r="A181" t="s">
        <v>19</v>
      </c>
      <c r="B181" t="s">
        <v>20</v>
      </c>
      <c r="C181" t="str">
        <f t="shared" si="2"/>
        <v>31-Dec-21</v>
      </c>
      <c r="D181" t="s">
        <v>21</v>
      </c>
      <c r="E181" t="s">
        <v>22</v>
      </c>
      <c r="F181" t="str">
        <f>"B0C2CQ3"</f>
        <v>B0C2CQ3</v>
      </c>
      <c r="G181" t="s">
        <v>206</v>
      </c>
      <c r="I181" t="s">
        <v>103</v>
      </c>
      <c r="J181">
        <v>0.839602791</v>
      </c>
      <c r="K181">
        <v>1058420</v>
      </c>
      <c r="L181">
        <v>17163152.81</v>
      </c>
      <c r="M181">
        <v>13317010.83</v>
      </c>
      <c r="N181">
        <v>13.014</v>
      </c>
      <c r="O181">
        <v>13774277.88</v>
      </c>
      <c r="P181">
        <v>11564922.15</v>
      </c>
      <c r="Q181">
        <v>0</v>
      </c>
      <c r="R181">
        <v>0</v>
      </c>
      <c r="S181">
        <v>0.267</v>
      </c>
      <c r="T181" t="s">
        <v>25</v>
      </c>
    </row>
    <row r="182" spans="1:20" ht="15">
      <c r="A182" t="s">
        <v>19</v>
      </c>
      <c r="B182" t="s">
        <v>20</v>
      </c>
      <c r="C182" t="str">
        <f t="shared" si="2"/>
        <v>31-Dec-21</v>
      </c>
      <c r="D182" t="s">
        <v>21</v>
      </c>
      <c r="E182" t="s">
        <v>22</v>
      </c>
      <c r="F182" t="str">
        <f>"7145056"</f>
        <v>7145056</v>
      </c>
      <c r="G182" t="s">
        <v>207</v>
      </c>
      <c r="I182" t="s">
        <v>103</v>
      </c>
      <c r="J182">
        <v>0.839602791</v>
      </c>
      <c r="K182">
        <v>1583536</v>
      </c>
      <c r="L182">
        <v>24133818.7</v>
      </c>
      <c r="M182">
        <v>18627603.93</v>
      </c>
      <c r="N182">
        <v>12.22</v>
      </c>
      <c r="O182">
        <v>19350809.92</v>
      </c>
      <c r="P182">
        <v>16246994.01</v>
      </c>
      <c r="Q182">
        <v>0</v>
      </c>
      <c r="R182">
        <v>0</v>
      </c>
      <c r="S182">
        <v>0.375</v>
      </c>
      <c r="T182" t="s">
        <v>25</v>
      </c>
    </row>
    <row r="183" spans="1:20" ht="15">
      <c r="A183" t="s">
        <v>19</v>
      </c>
      <c r="B183" t="s">
        <v>20</v>
      </c>
      <c r="C183" t="str">
        <f t="shared" si="2"/>
        <v>31-Dec-21</v>
      </c>
      <c r="D183" t="s">
        <v>21</v>
      </c>
      <c r="E183" t="s">
        <v>22</v>
      </c>
      <c r="F183" t="str">
        <f>"5289837"</f>
        <v>5289837</v>
      </c>
      <c r="G183" t="s">
        <v>208</v>
      </c>
      <c r="I183" t="s">
        <v>103</v>
      </c>
      <c r="J183">
        <v>0.839602791</v>
      </c>
      <c r="K183">
        <v>205159</v>
      </c>
      <c r="L183">
        <v>5634357.9</v>
      </c>
      <c r="M183">
        <v>4418469.35</v>
      </c>
      <c r="N183">
        <v>41.35</v>
      </c>
      <c r="O183">
        <v>8483324.65</v>
      </c>
      <c r="P183">
        <v>7122623.05</v>
      </c>
      <c r="Q183">
        <v>0</v>
      </c>
      <c r="R183">
        <v>0</v>
      </c>
      <c r="S183">
        <v>0.165</v>
      </c>
      <c r="T183" t="s">
        <v>25</v>
      </c>
    </row>
    <row r="184" spans="1:20" ht="15">
      <c r="A184" t="s">
        <v>19</v>
      </c>
      <c r="B184" t="s">
        <v>20</v>
      </c>
      <c r="C184" t="str">
        <f t="shared" si="2"/>
        <v>31-Dec-21</v>
      </c>
      <c r="D184" t="s">
        <v>21</v>
      </c>
      <c r="E184" t="s">
        <v>22</v>
      </c>
      <c r="F184" t="str">
        <f>"7212477"</f>
        <v>7212477</v>
      </c>
      <c r="G184" t="s">
        <v>209</v>
      </c>
      <c r="I184" t="s">
        <v>103</v>
      </c>
      <c r="J184">
        <v>0.839602791</v>
      </c>
      <c r="K184">
        <v>190813</v>
      </c>
      <c r="L184">
        <v>21792377.31</v>
      </c>
      <c r="M184">
        <v>17734937.23</v>
      </c>
      <c r="N184">
        <v>187.24</v>
      </c>
      <c r="O184">
        <v>35727826.12</v>
      </c>
      <c r="P184">
        <v>29997182.52</v>
      </c>
      <c r="Q184">
        <v>0</v>
      </c>
      <c r="R184">
        <v>0</v>
      </c>
      <c r="S184">
        <v>0.693</v>
      </c>
      <c r="T184" t="s">
        <v>25</v>
      </c>
    </row>
    <row r="185" spans="1:20" ht="15">
      <c r="A185" t="s">
        <v>19</v>
      </c>
      <c r="B185" t="s">
        <v>20</v>
      </c>
      <c r="C185" t="str">
        <f t="shared" si="2"/>
        <v>31-Dec-21</v>
      </c>
      <c r="D185" t="s">
        <v>21</v>
      </c>
      <c r="E185" t="s">
        <v>22</v>
      </c>
      <c r="F185" t="str">
        <f>"5806225"</f>
        <v>5806225</v>
      </c>
      <c r="G185" t="s">
        <v>210</v>
      </c>
      <c r="I185" t="s">
        <v>103</v>
      </c>
      <c r="J185">
        <v>0.839602791</v>
      </c>
      <c r="K185">
        <v>37711</v>
      </c>
      <c r="L185">
        <v>1762532.48</v>
      </c>
      <c r="M185">
        <v>1418464.35</v>
      </c>
      <c r="N185">
        <v>37.26</v>
      </c>
      <c r="O185">
        <v>1405111.86</v>
      </c>
      <c r="P185">
        <v>1179735.84</v>
      </c>
      <c r="Q185">
        <v>0</v>
      </c>
      <c r="R185">
        <v>0</v>
      </c>
      <c r="S185">
        <v>0.027</v>
      </c>
      <c r="T185" t="s">
        <v>25</v>
      </c>
    </row>
    <row r="186" spans="1:20" ht="15">
      <c r="A186" t="s">
        <v>19</v>
      </c>
      <c r="B186" t="s">
        <v>20</v>
      </c>
      <c r="C186" t="str">
        <f t="shared" si="2"/>
        <v>31-Dec-21</v>
      </c>
      <c r="D186" t="s">
        <v>21</v>
      </c>
      <c r="E186" t="s">
        <v>22</v>
      </c>
      <c r="F186" t="str">
        <f>"7042395"</f>
        <v>7042395</v>
      </c>
      <c r="G186" t="s">
        <v>211</v>
      </c>
      <c r="I186" t="s">
        <v>103</v>
      </c>
      <c r="J186">
        <v>0.839602791</v>
      </c>
      <c r="K186">
        <v>29069</v>
      </c>
      <c r="L186">
        <v>1491912.09</v>
      </c>
      <c r="M186">
        <v>1136679.32</v>
      </c>
      <c r="N186">
        <v>76.8</v>
      </c>
      <c r="O186">
        <v>2232499.2</v>
      </c>
      <c r="P186">
        <v>1874412.56</v>
      </c>
      <c r="Q186">
        <v>0</v>
      </c>
      <c r="R186">
        <v>0</v>
      </c>
      <c r="S186">
        <v>0.043</v>
      </c>
      <c r="T186" t="s">
        <v>25</v>
      </c>
    </row>
    <row r="187" spans="1:20" ht="15">
      <c r="A187" t="s">
        <v>19</v>
      </c>
      <c r="B187" t="s">
        <v>20</v>
      </c>
      <c r="C187" t="str">
        <f t="shared" si="2"/>
        <v>31-Dec-21</v>
      </c>
      <c r="D187" t="s">
        <v>21</v>
      </c>
      <c r="E187" t="s">
        <v>22</v>
      </c>
      <c r="F187" t="str">
        <f>"BNDPYV1"</f>
        <v>BNDPYV1</v>
      </c>
      <c r="G187" t="s">
        <v>212</v>
      </c>
      <c r="I187" t="s">
        <v>103</v>
      </c>
      <c r="J187">
        <v>0.839602791</v>
      </c>
      <c r="K187">
        <v>81252</v>
      </c>
      <c r="L187">
        <v>3408596.93</v>
      </c>
      <c r="M187">
        <v>2880342.34</v>
      </c>
      <c r="N187">
        <v>108.8</v>
      </c>
      <c r="O187">
        <v>8840217.6</v>
      </c>
      <c r="P187">
        <v>7422271.37</v>
      </c>
      <c r="Q187">
        <v>0</v>
      </c>
      <c r="R187">
        <v>0</v>
      </c>
      <c r="S187">
        <v>0.172</v>
      </c>
      <c r="T187" t="s">
        <v>25</v>
      </c>
    </row>
    <row r="188" spans="1:20" ht="15">
      <c r="A188" t="s">
        <v>19</v>
      </c>
      <c r="B188" t="s">
        <v>20</v>
      </c>
      <c r="C188" t="str">
        <f t="shared" si="2"/>
        <v>31-Dec-21</v>
      </c>
      <c r="D188" t="s">
        <v>21</v>
      </c>
      <c r="E188" t="s">
        <v>22</v>
      </c>
      <c r="F188" t="str">
        <f>"BNBNSG0"</f>
        <v>BNBNSG0</v>
      </c>
      <c r="G188" t="s">
        <v>213</v>
      </c>
      <c r="I188" t="s">
        <v>103</v>
      </c>
      <c r="J188">
        <v>0.839602791</v>
      </c>
      <c r="K188">
        <v>54444</v>
      </c>
      <c r="L188">
        <v>3686533.83</v>
      </c>
      <c r="M188">
        <v>3222771.61</v>
      </c>
      <c r="N188">
        <v>91.25</v>
      </c>
      <c r="O188">
        <v>4968015</v>
      </c>
      <c r="P188">
        <v>4171159.26</v>
      </c>
      <c r="Q188">
        <v>0</v>
      </c>
      <c r="R188">
        <v>0</v>
      </c>
      <c r="S188">
        <v>0.096</v>
      </c>
      <c r="T188" t="s">
        <v>25</v>
      </c>
    </row>
    <row r="189" spans="1:20" ht="15">
      <c r="A189" t="s">
        <v>19</v>
      </c>
      <c r="B189" t="s">
        <v>20</v>
      </c>
      <c r="C189" t="str">
        <f t="shared" si="2"/>
        <v>31-Dec-21</v>
      </c>
      <c r="D189" t="s">
        <v>21</v>
      </c>
      <c r="E189" t="s">
        <v>22</v>
      </c>
      <c r="F189" t="str">
        <f>"B5ZQ9D3"</f>
        <v>B5ZQ9D3</v>
      </c>
      <c r="G189" t="s">
        <v>214</v>
      </c>
      <c r="I189" t="s">
        <v>103</v>
      </c>
      <c r="J189">
        <v>0.839602791</v>
      </c>
      <c r="K189">
        <v>121339</v>
      </c>
      <c r="L189">
        <v>3514989.88</v>
      </c>
      <c r="M189">
        <v>2746842.04</v>
      </c>
      <c r="N189">
        <v>28.47</v>
      </c>
      <c r="O189">
        <v>3454521.33</v>
      </c>
      <c r="P189">
        <v>2900425.75</v>
      </c>
      <c r="Q189">
        <v>0</v>
      </c>
      <c r="R189">
        <v>0</v>
      </c>
      <c r="S189">
        <v>0.067</v>
      </c>
      <c r="T189" t="s">
        <v>25</v>
      </c>
    </row>
    <row r="190" spans="1:20" ht="15">
      <c r="A190" t="s">
        <v>19</v>
      </c>
      <c r="B190" t="s">
        <v>20</v>
      </c>
      <c r="C190" t="str">
        <f t="shared" si="2"/>
        <v>31-Dec-21</v>
      </c>
      <c r="D190" t="s">
        <v>21</v>
      </c>
      <c r="E190" t="s">
        <v>22</v>
      </c>
      <c r="F190" t="str">
        <f>"5811917"</f>
        <v>5811917</v>
      </c>
      <c r="G190" t="s">
        <v>215</v>
      </c>
      <c r="I190" t="s">
        <v>103</v>
      </c>
      <c r="J190">
        <v>0.839602791</v>
      </c>
      <c r="K190">
        <v>100176</v>
      </c>
      <c r="L190">
        <v>3088685.41</v>
      </c>
      <c r="M190">
        <v>2647927.86</v>
      </c>
      <c r="N190">
        <v>42.5</v>
      </c>
      <c r="O190">
        <v>4257480</v>
      </c>
      <c r="P190">
        <v>3574592.09</v>
      </c>
      <c r="Q190">
        <v>0</v>
      </c>
      <c r="R190">
        <v>0</v>
      </c>
      <c r="S190">
        <v>0.083</v>
      </c>
      <c r="T190" t="s">
        <v>25</v>
      </c>
    </row>
    <row r="191" spans="1:20" ht="15">
      <c r="A191" t="s">
        <v>19</v>
      </c>
      <c r="B191" t="s">
        <v>20</v>
      </c>
      <c r="C191" t="str">
        <f t="shared" si="2"/>
        <v>31-Dec-21</v>
      </c>
      <c r="D191" t="s">
        <v>21</v>
      </c>
      <c r="E191" t="s">
        <v>22</v>
      </c>
      <c r="F191" t="str">
        <f>"BNHRG73"</f>
        <v>BNHRG73</v>
      </c>
      <c r="G191" t="s">
        <v>216</v>
      </c>
      <c r="I191" t="s">
        <v>103</v>
      </c>
      <c r="J191">
        <v>0.839602791</v>
      </c>
      <c r="K191">
        <v>21181</v>
      </c>
      <c r="L191">
        <v>730750.47</v>
      </c>
      <c r="M191">
        <v>556926.16</v>
      </c>
      <c r="N191">
        <v>30.88</v>
      </c>
      <c r="O191">
        <v>654069.28</v>
      </c>
      <c r="P191">
        <v>549158.39</v>
      </c>
      <c r="Q191">
        <v>0</v>
      </c>
      <c r="R191">
        <v>0</v>
      </c>
      <c r="S191">
        <v>0.013</v>
      </c>
      <c r="T191" t="s">
        <v>25</v>
      </c>
    </row>
    <row r="192" spans="1:20" ht="15">
      <c r="A192" t="s">
        <v>19</v>
      </c>
      <c r="B192" t="s">
        <v>20</v>
      </c>
      <c r="C192" t="str">
        <f t="shared" si="2"/>
        <v>31-Dec-21</v>
      </c>
      <c r="D192" t="s">
        <v>21</v>
      </c>
      <c r="E192" t="s">
        <v>22</v>
      </c>
      <c r="F192" t="str">
        <f>"BNHRG84"</f>
        <v>BNHRG84</v>
      </c>
      <c r="G192" t="s">
        <v>217</v>
      </c>
      <c r="I192" t="s">
        <v>103</v>
      </c>
      <c r="J192">
        <v>0.839602791</v>
      </c>
      <c r="K192">
        <v>44202</v>
      </c>
      <c r="L192">
        <v>1772798.97</v>
      </c>
      <c r="M192">
        <v>1357449.15</v>
      </c>
      <c r="N192">
        <v>39.92</v>
      </c>
      <c r="O192">
        <v>1764543.84</v>
      </c>
      <c r="P192">
        <v>1481515.93</v>
      </c>
      <c r="Q192">
        <v>0</v>
      </c>
      <c r="R192">
        <v>0</v>
      </c>
      <c r="S192">
        <v>0.034</v>
      </c>
      <c r="T192" t="s">
        <v>25</v>
      </c>
    </row>
    <row r="193" spans="1:20" ht="15">
      <c r="A193" t="s">
        <v>19</v>
      </c>
      <c r="B193" t="s">
        <v>20</v>
      </c>
      <c r="C193" t="str">
        <f t="shared" si="2"/>
        <v>31-Dec-21</v>
      </c>
      <c r="D193" t="s">
        <v>21</v>
      </c>
      <c r="E193" t="s">
        <v>22</v>
      </c>
      <c r="F193" t="str">
        <f>"4400446"</f>
        <v>4400446</v>
      </c>
      <c r="G193" t="s">
        <v>218</v>
      </c>
      <c r="I193" t="s">
        <v>103</v>
      </c>
      <c r="J193">
        <v>0.839602791</v>
      </c>
      <c r="K193">
        <v>77876</v>
      </c>
      <c r="L193">
        <v>3012033.86</v>
      </c>
      <c r="M193">
        <v>2470671.08</v>
      </c>
      <c r="N193">
        <v>41.83</v>
      </c>
      <c r="O193">
        <v>3257553.08</v>
      </c>
      <c r="P193">
        <v>2735050.66</v>
      </c>
      <c r="Q193">
        <v>0</v>
      </c>
      <c r="R193">
        <v>0</v>
      </c>
      <c r="S193">
        <v>0.063</v>
      </c>
      <c r="T193" t="s">
        <v>25</v>
      </c>
    </row>
    <row r="194" spans="1:20" ht="15">
      <c r="A194" t="s">
        <v>19</v>
      </c>
      <c r="B194" t="s">
        <v>20</v>
      </c>
      <c r="C194" t="str">
        <f aca="true" t="shared" si="3" ref="C194:C257">"31-Dec-21"</f>
        <v>31-Dec-21</v>
      </c>
      <c r="D194" t="s">
        <v>21</v>
      </c>
      <c r="E194" t="s">
        <v>22</v>
      </c>
      <c r="F194" t="str">
        <f>"BD6G507"</f>
        <v>BD6G507</v>
      </c>
      <c r="G194" t="s">
        <v>219</v>
      </c>
      <c r="I194" t="s">
        <v>103</v>
      </c>
      <c r="J194">
        <v>0.839602791</v>
      </c>
      <c r="K194">
        <v>77783</v>
      </c>
      <c r="L194">
        <v>5104323.21</v>
      </c>
      <c r="M194">
        <v>4108634.46</v>
      </c>
      <c r="N194">
        <v>227.5</v>
      </c>
      <c r="O194">
        <v>17695632.5</v>
      </c>
      <c r="P194">
        <v>14857302.43</v>
      </c>
      <c r="Q194">
        <v>0</v>
      </c>
      <c r="R194">
        <v>0</v>
      </c>
      <c r="S194">
        <v>0.343</v>
      </c>
      <c r="T194" t="s">
        <v>25</v>
      </c>
    </row>
    <row r="195" spans="1:20" ht="15">
      <c r="A195" t="s">
        <v>19</v>
      </c>
      <c r="B195" t="s">
        <v>20</v>
      </c>
      <c r="C195" t="str">
        <f t="shared" si="3"/>
        <v>31-Dec-21</v>
      </c>
      <c r="D195" t="s">
        <v>21</v>
      </c>
      <c r="E195" t="s">
        <v>22</v>
      </c>
      <c r="F195" t="str">
        <f>"B038516"</f>
        <v>B038516</v>
      </c>
      <c r="G195" t="s">
        <v>220</v>
      </c>
      <c r="I195" t="s">
        <v>103</v>
      </c>
      <c r="J195">
        <v>0.839602791</v>
      </c>
      <c r="K195">
        <v>324042</v>
      </c>
      <c r="L195">
        <v>5568925.38</v>
      </c>
      <c r="M195">
        <v>4365321.71</v>
      </c>
      <c r="N195">
        <v>27.56</v>
      </c>
      <c r="O195">
        <v>8930597.52</v>
      </c>
      <c r="P195">
        <v>7498154.6</v>
      </c>
      <c r="Q195">
        <v>0</v>
      </c>
      <c r="R195">
        <v>0</v>
      </c>
      <c r="S195">
        <v>0.173</v>
      </c>
      <c r="T195" t="s">
        <v>25</v>
      </c>
    </row>
    <row r="196" spans="1:20" ht="15">
      <c r="A196" t="s">
        <v>19</v>
      </c>
      <c r="B196" t="s">
        <v>20</v>
      </c>
      <c r="C196" t="str">
        <f t="shared" si="3"/>
        <v>31-Dec-21</v>
      </c>
      <c r="D196" t="s">
        <v>21</v>
      </c>
      <c r="E196" t="s">
        <v>22</v>
      </c>
      <c r="F196" t="str">
        <f>"4409205"</f>
        <v>4409205</v>
      </c>
      <c r="G196" t="s">
        <v>221</v>
      </c>
      <c r="I196" t="s">
        <v>103</v>
      </c>
      <c r="J196">
        <v>0.839602791</v>
      </c>
      <c r="K196">
        <v>16912</v>
      </c>
      <c r="L196">
        <v>1053352.5</v>
      </c>
      <c r="M196">
        <v>823244.23</v>
      </c>
      <c r="N196">
        <v>59.15</v>
      </c>
      <c r="O196">
        <v>1000344.8</v>
      </c>
      <c r="P196">
        <v>839892.29</v>
      </c>
      <c r="Q196">
        <v>0</v>
      </c>
      <c r="R196">
        <v>0</v>
      </c>
      <c r="S196">
        <v>0.019</v>
      </c>
      <c r="T196" t="s">
        <v>25</v>
      </c>
    </row>
    <row r="197" spans="1:20" ht="15">
      <c r="A197" t="s">
        <v>19</v>
      </c>
      <c r="B197" t="s">
        <v>20</v>
      </c>
      <c r="C197" t="str">
        <f t="shared" si="3"/>
        <v>31-Dec-21</v>
      </c>
      <c r="D197" t="s">
        <v>21</v>
      </c>
      <c r="E197" t="s">
        <v>22</v>
      </c>
      <c r="F197" t="str">
        <f>"BNGN9Z1"</f>
        <v>BNGN9Z1</v>
      </c>
      <c r="G197" t="s">
        <v>222</v>
      </c>
      <c r="I197" t="s">
        <v>103</v>
      </c>
      <c r="J197">
        <v>0.839602791</v>
      </c>
      <c r="K197">
        <v>403736</v>
      </c>
      <c r="L197">
        <v>3384939.25</v>
      </c>
      <c r="M197">
        <v>2918246.72</v>
      </c>
      <c r="N197">
        <v>15.435</v>
      </c>
      <c r="O197">
        <v>6231665.16</v>
      </c>
      <c r="P197">
        <v>5232123.46</v>
      </c>
      <c r="Q197">
        <v>0</v>
      </c>
      <c r="R197">
        <v>0</v>
      </c>
      <c r="S197">
        <v>0.121</v>
      </c>
      <c r="T197" t="s">
        <v>25</v>
      </c>
    </row>
    <row r="198" spans="1:20" ht="15">
      <c r="A198" t="s">
        <v>19</v>
      </c>
      <c r="B198" t="s">
        <v>20</v>
      </c>
      <c r="C198" t="str">
        <f t="shared" si="3"/>
        <v>31-Dec-21</v>
      </c>
      <c r="D198" t="s">
        <v>21</v>
      </c>
      <c r="E198" t="s">
        <v>22</v>
      </c>
      <c r="F198" t="str">
        <f>"B28V440"</f>
        <v>B28V440</v>
      </c>
      <c r="G198" t="s">
        <v>223</v>
      </c>
      <c r="I198" t="s">
        <v>103</v>
      </c>
      <c r="J198">
        <v>0.839602791</v>
      </c>
      <c r="K198">
        <v>72910</v>
      </c>
      <c r="L198">
        <v>2575100.84</v>
      </c>
      <c r="M198">
        <v>2202148.41</v>
      </c>
      <c r="N198">
        <v>35.2</v>
      </c>
      <c r="O198">
        <v>2566432</v>
      </c>
      <c r="P198">
        <v>2154783.47</v>
      </c>
      <c r="Q198">
        <v>0</v>
      </c>
      <c r="R198">
        <v>0</v>
      </c>
      <c r="S198">
        <v>0.05</v>
      </c>
      <c r="T198" t="s">
        <v>25</v>
      </c>
    </row>
    <row r="199" spans="1:20" ht="15">
      <c r="A199" t="s">
        <v>19</v>
      </c>
      <c r="B199" t="s">
        <v>20</v>
      </c>
      <c r="C199" t="str">
        <f t="shared" si="3"/>
        <v>31-Dec-21</v>
      </c>
      <c r="D199" t="s">
        <v>21</v>
      </c>
      <c r="E199" t="s">
        <v>22</v>
      </c>
      <c r="F199" t="str">
        <f>"5579550"</f>
        <v>5579550</v>
      </c>
      <c r="G199" t="s">
        <v>224</v>
      </c>
      <c r="I199" t="s">
        <v>103</v>
      </c>
      <c r="J199">
        <v>0.839602791</v>
      </c>
      <c r="K199">
        <v>283016</v>
      </c>
      <c r="L199">
        <v>5071000.61</v>
      </c>
      <c r="M199">
        <v>3876538.07</v>
      </c>
      <c r="N199">
        <v>26.99</v>
      </c>
      <c r="O199">
        <v>7638601.84</v>
      </c>
      <c r="P199">
        <v>6413391.42</v>
      </c>
      <c r="Q199">
        <v>0</v>
      </c>
      <c r="R199">
        <v>0</v>
      </c>
      <c r="S199">
        <v>0.148</v>
      </c>
      <c r="T199" t="s">
        <v>25</v>
      </c>
    </row>
    <row r="200" spans="1:20" ht="15">
      <c r="A200" t="s">
        <v>19</v>
      </c>
      <c r="B200" t="s">
        <v>20</v>
      </c>
      <c r="C200" t="str">
        <f t="shared" si="3"/>
        <v>31-Dec-21</v>
      </c>
      <c r="D200" t="s">
        <v>21</v>
      </c>
      <c r="E200" t="s">
        <v>22</v>
      </c>
      <c r="F200" t="str">
        <f>"7107551"</f>
        <v>7107551</v>
      </c>
      <c r="G200" t="s">
        <v>225</v>
      </c>
      <c r="I200" t="s">
        <v>103</v>
      </c>
      <c r="J200">
        <v>0.839602791</v>
      </c>
      <c r="K200">
        <v>24409</v>
      </c>
      <c r="L200">
        <v>1378229.3</v>
      </c>
      <c r="M200">
        <v>1047425.99</v>
      </c>
      <c r="N200">
        <v>59.18</v>
      </c>
      <c r="O200">
        <v>1444524.62</v>
      </c>
      <c r="P200">
        <v>1212826.9</v>
      </c>
      <c r="Q200">
        <v>0</v>
      </c>
      <c r="R200">
        <v>0</v>
      </c>
      <c r="S200">
        <v>0.028</v>
      </c>
      <c r="T200" t="s">
        <v>25</v>
      </c>
    </row>
    <row r="201" spans="1:20" ht="15">
      <c r="A201" t="s">
        <v>19</v>
      </c>
      <c r="B201" t="s">
        <v>20</v>
      </c>
      <c r="C201" t="str">
        <f t="shared" si="3"/>
        <v>31-Dec-21</v>
      </c>
      <c r="D201" t="s">
        <v>21</v>
      </c>
      <c r="E201" t="s">
        <v>22</v>
      </c>
      <c r="F201" t="str">
        <f>"5129074"</f>
        <v>5129074</v>
      </c>
      <c r="G201" t="s">
        <v>226</v>
      </c>
      <c r="I201" t="s">
        <v>103</v>
      </c>
      <c r="J201">
        <v>0.839602791</v>
      </c>
      <c r="K201">
        <v>136232</v>
      </c>
      <c r="L201">
        <v>10429553.17</v>
      </c>
      <c r="M201">
        <v>8087356.32</v>
      </c>
      <c r="N201">
        <v>57.14</v>
      </c>
      <c r="O201">
        <v>7784296.48</v>
      </c>
      <c r="P201">
        <v>6535717.05</v>
      </c>
      <c r="Q201">
        <v>0</v>
      </c>
      <c r="R201">
        <v>0</v>
      </c>
      <c r="S201">
        <v>0.151</v>
      </c>
      <c r="T201" t="s">
        <v>25</v>
      </c>
    </row>
    <row r="202" spans="1:20" ht="15">
      <c r="A202" t="s">
        <v>19</v>
      </c>
      <c r="B202" t="s">
        <v>20</v>
      </c>
      <c r="C202" t="str">
        <f t="shared" si="3"/>
        <v>31-Dec-21</v>
      </c>
      <c r="D202" t="s">
        <v>21</v>
      </c>
      <c r="E202" t="s">
        <v>22</v>
      </c>
      <c r="F202" t="str">
        <f>"4352097"</f>
        <v>4352097</v>
      </c>
      <c r="G202" t="s">
        <v>227</v>
      </c>
      <c r="I202" t="s">
        <v>103</v>
      </c>
      <c r="J202">
        <v>0.839602791</v>
      </c>
      <c r="K202">
        <v>267297</v>
      </c>
      <c r="L202">
        <v>14870365.46</v>
      </c>
      <c r="M202">
        <v>11662578.79</v>
      </c>
      <c r="N202">
        <v>35.4</v>
      </c>
      <c r="O202">
        <v>9462313.8</v>
      </c>
      <c r="P202">
        <v>7944585.07</v>
      </c>
      <c r="Q202">
        <v>0</v>
      </c>
      <c r="R202">
        <v>0</v>
      </c>
      <c r="S202">
        <v>0.184</v>
      </c>
      <c r="T202" t="s">
        <v>25</v>
      </c>
    </row>
    <row r="203" spans="1:20" ht="15">
      <c r="A203" t="s">
        <v>19</v>
      </c>
      <c r="B203" t="s">
        <v>20</v>
      </c>
      <c r="C203" t="str">
        <f t="shared" si="3"/>
        <v>31-Dec-21</v>
      </c>
      <c r="D203" t="s">
        <v>21</v>
      </c>
      <c r="E203" t="s">
        <v>22</v>
      </c>
      <c r="F203" t="str">
        <f>"4557104"</f>
        <v>4557104</v>
      </c>
      <c r="G203" t="s">
        <v>228</v>
      </c>
      <c r="I203" t="s">
        <v>103</v>
      </c>
      <c r="J203">
        <v>0.839602791</v>
      </c>
      <c r="K203">
        <v>109902</v>
      </c>
      <c r="L203">
        <v>4465523.01</v>
      </c>
      <c r="M203">
        <v>3358686.91</v>
      </c>
      <c r="N203">
        <v>48.09</v>
      </c>
      <c r="O203">
        <v>5285187.18</v>
      </c>
      <c r="P203">
        <v>4437457.91</v>
      </c>
      <c r="Q203">
        <v>0</v>
      </c>
      <c r="R203">
        <v>0</v>
      </c>
      <c r="S203">
        <v>0.103</v>
      </c>
      <c r="T203" t="s">
        <v>25</v>
      </c>
    </row>
    <row r="204" spans="1:20" ht="15">
      <c r="A204" t="s">
        <v>19</v>
      </c>
      <c r="B204" t="s">
        <v>20</v>
      </c>
      <c r="C204" t="str">
        <f t="shared" si="3"/>
        <v>31-Dec-21</v>
      </c>
      <c r="D204" t="s">
        <v>21</v>
      </c>
      <c r="E204" t="s">
        <v>22</v>
      </c>
      <c r="F204" t="str">
        <f>"B07Q2V5"</f>
        <v>B07Q2V5</v>
      </c>
      <c r="G204" t="s">
        <v>229</v>
      </c>
      <c r="I204" t="s">
        <v>103</v>
      </c>
      <c r="J204">
        <v>0.839602791</v>
      </c>
      <c r="K204">
        <v>30470</v>
      </c>
      <c r="L204">
        <v>3174562.76</v>
      </c>
      <c r="M204">
        <v>2736699.41</v>
      </c>
      <c r="N204">
        <v>49.22</v>
      </c>
      <c r="O204">
        <v>1499733.4</v>
      </c>
      <c r="P204">
        <v>1259180.35</v>
      </c>
      <c r="Q204">
        <v>0</v>
      </c>
      <c r="R204">
        <v>0</v>
      </c>
      <c r="S204">
        <v>0.029</v>
      </c>
      <c r="T204" t="s">
        <v>25</v>
      </c>
    </row>
    <row r="205" spans="1:20" ht="15">
      <c r="A205" t="s">
        <v>19</v>
      </c>
      <c r="B205" t="s">
        <v>20</v>
      </c>
      <c r="C205" t="str">
        <f t="shared" si="3"/>
        <v>31-Dec-21</v>
      </c>
      <c r="D205" t="s">
        <v>21</v>
      </c>
      <c r="E205" t="s">
        <v>22</v>
      </c>
      <c r="F205" t="str">
        <f>"B1FW751"</f>
        <v>B1FW751</v>
      </c>
      <c r="G205" t="s">
        <v>230</v>
      </c>
      <c r="I205" t="s">
        <v>103</v>
      </c>
      <c r="J205">
        <v>0.839602791</v>
      </c>
      <c r="K205">
        <v>351241</v>
      </c>
      <c r="L205">
        <v>4200564.76</v>
      </c>
      <c r="M205">
        <v>3312108.15</v>
      </c>
      <c r="N205">
        <v>8.52</v>
      </c>
      <c r="O205">
        <v>2992573.32</v>
      </c>
      <c r="P205">
        <v>2512572.91</v>
      </c>
      <c r="Q205">
        <v>0</v>
      </c>
      <c r="R205">
        <v>0</v>
      </c>
      <c r="S205">
        <v>0.058</v>
      </c>
      <c r="T205" t="s">
        <v>25</v>
      </c>
    </row>
    <row r="206" spans="1:20" ht="15">
      <c r="A206" t="s">
        <v>19</v>
      </c>
      <c r="B206" t="s">
        <v>20</v>
      </c>
      <c r="C206" t="str">
        <f t="shared" si="3"/>
        <v>31-Dec-21</v>
      </c>
      <c r="D206" t="s">
        <v>21</v>
      </c>
      <c r="E206" t="s">
        <v>22</v>
      </c>
      <c r="F206" t="str">
        <f>"7742468"</f>
        <v>7742468</v>
      </c>
      <c r="G206" t="s">
        <v>231</v>
      </c>
      <c r="I206" t="s">
        <v>103</v>
      </c>
      <c r="J206">
        <v>0.839602791</v>
      </c>
      <c r="K206">
        <v>33796</v>
      </c>
      <c r="L206">
        <v>4328667.26</v>
      </c>
      <c r="M206">
        <v>3469472.43</v>
      </c>
      <c r="N206">
        <v>122.9</v>
      </c>
      <c r="O206">
        <v>4153528.4</v>
      </c>
      <c r="P206">
        <v>3487314.04</v>
      </c>
      <c r="Q206">
        <v>0</v>
      </c>
      <c r="R206">
        <v>0</v>
      </c>
      <c r="S206">
        <v>0.081</v>
      </c>
      <c r="T206" t="s">
        <v>25</v>
      </c>
    </row>
    <row r="207" spans="1:20" ht="15">
      <c r="A207" t="s">
        <v>19</v>
      </c>
      <c r="B207" t="s">
        <v>20</v>
      </c>
      <c r="C207" t="str">
        <f t="shared" si="3"/>
        <v>31-Dec-21</v>
      </c>
      <c r="D207" t="s">
        <v>21</v>
      </c>
      <c r="E207" t="s">
        <v>22</v>
      </c>
      <c r="F207" t="str">
        <f>"B292JQ9"</f>
        <v>B292JQ9</v>
      </c>
      <c r="G207" t="s">
        <v>232</v>
      </c>
      <c r="I207" t="s">
        <v>103</v>
      </c>
      <c r="J207">
        <v>0.839602791</v>
      </c>
      <c r="K207">
        <v>297603</v>
      </c>
      <c r="L207">
        <v>3859843.03</v>
      </c>
      <c r="M207">
        <v>2942856.03</v>
      </c>
      <c r="N207">
        <v>14.56</v>
      </c>
      <c r="O207">
        <v>4333099.68</v>
      </c>
      <c r="P207">
        <v>3638082.58</v>
      </c>
      <c r="Q207">
        <v>0</v>
      </c>
      <c r="R207">
        <v>0</v>
      </c>
      <c r="S207">
        <v>0.084</v>
      </c>
      <c r="T207" t="s">
        <v>25</v>
      </c>
    </row>
    <row r="208" spans="1:20" ht="15">
      <c r="A208" t="s">
        <v>19</v>
      </c>
      <c r="B208" t="s">
        <v>20</v>
      </c>
      <c r="C208" t="str">
        <f t="shared" si="3"/>
        <v>31-Dec-21</v>
      </c>
      <c r="D208" t="s">
        <v>21</v>
      </c>
      <c r="E208" t="s">
        <v>22</v>
      </c>
      <c r="F208" t="str">
        <f>"4058629"</f>
        <v>4058629</v>
      </c>
      <c r="G208" t="s">
        <v>233</v>
      </c>
      <c r="I208" t="s">
        <v>103</v>
      </c>
      <c r="J208">
        <v>0.839602791</v>
      </c>
      <c r="K208">
        <v>122707</v>
      </c>
      <c r="L208">
        <v>2005903.72</v>
      </c>
      <c r="M208">
        <v>1571848.79</v>
      </c>
      <c r="N208">
        <v>12.3</v>
      </c>
      <c r="O208">
        <v>1509296.1</v>
      </c>
      <c r="P208">
        <v>1267209.22</v>
      </c>
      <c r="Q208">
        <v>0</v>
      </c>
      <c r="R208">
        <v>0</v>
      </c>
      <c r="S208">
        <v>0.029</v>
      </c>
      <c r="T208" t="s">
        <v>25</v>
      </c>
    </row>
    <row r="209" spans="1:20" ht="15">
      <c r="A209" t="s">
        <v>19</v>
      </c>
      <c r="B209" t="s">
        <v>20</v>
      </c>
      <c r="C209" t="str">
        <f t="shared" si="3"/>
        <v>31-Dec-21</v>
      </c>
      <c r="D209" t="s">
        <v>21</v>
      </c>
      <c r="E209" t="s">
        <v>22</v>
      </c>
      <c r="F209" t="str">
        <f>"BYY3DX6"</f>
        <v>BYY3DX6</v>
      </c>
      <c r="G209" t="s">
        <v>234</v>
      </c>
      <c r="I209" t="s">
        <v>103</v>
      </c>
      <c r="J209">
        <v>0.839602791</v>
      </c>
      <c r="K209">
        <v>212077</v>
      </c>
      <c r="L209">
        <v>4529866.04</v>
      </c>
      <c r="M209">
        <v>3513884.56</v>
      </c>
      <c r="N209">
        <v>16.875</v>
      </c>
      <c r="O209">
        <v>3578799.38</v>
      </c>
      <c r="P209">
        <v>3004769.95</v>
      </c>
      <c r="Q209">
        <v>0</v>
      </c>
      <c r="R209">
        <v>0</v>
      </c>
      <c r="S209">
        <v>0.069</v>
      </c>
      <c r="T209" t="s">
        <v>25</v>
      </c>
    </row>
    <row r="210" spans="1:20" ht="15">
      <c r="A210" t="s">
        <v>19</v>
      </c>
      <c r="B210" t="s">
        <v>20</v>
      </c>
      <c r="C210" t="str">
        <f t="shared" si="3"/>
        <v>31-Dec-21</v>
      </c>
      <c r="D210" t="s">
        <v>21</v>
      </c>
      <c r="E210" t="s">
        <v>22</v>
      </c>
      <c r="F210" t="str">
        <f>"7097328"</f>
        <v>7097328</v>
      </c>
      <c r="G210" t="s">
        <v>235</v>
      </c>
      <c r="I210" t="s">
        <v>103</v>
      </c>
      <c r="J210">
        <v>0.839602791</v>
      </c>
      <c r="K210">
        <v>62230</v>
      </c>
      <c r="L210">
        <v>4732707.59</v>
      </c>
      <c r="M210">
        <v>3936779.82</v>
      </c>
      <c r="N210">
        <v>98.16</v>
      </c>
      <c r="O210">
        <v>6108496.8</v>
      </c>
      <c r="P210">
        <v>5128710.96</v>
      </c>
      <c r="Q210">
        <v>0</v>
      </c>
      <c r="R210">
        <v>0</v>
      </c>
      <c r="S210">
        <v>0.119</v>
      </c>
      <c r="T210" t="s">
        <v>25</v>
      </c>
    </row>
    <row r="211" spans="1:20" ht="15">
      <c r="A211" t="s">
        <v>19</v>
      </c>
      <c r="B211" t="s">
        <v>20</v>
      </c>
      <c r="C211" t="str">
        <f t="shared" si="3"/>
        <v>31-Dec-21</v>
      </c>
      <c r="D211" t="s">
        <v>21</v>
      </c>
      <c r="E211" t="s">
        <v>22</v>
      </c>
      <c r="F211" t="str">
        <f>"5108664"</f>
        <v>5108664</v>
      </c>
      <c r="G211" t="s">
        <v>236</v>
      </c>
      <c r="I211" t="s">
        <v>103</v>
      </c>
      <c r="J211">
        <v>0.839602791</v>
      </c>
      <c r="K211">
        <v>12117</v>
      </c>
      <c r="L211">
        <v>965469.09</v>
      </c>
      <c r="M211">
        <v>733234.64</v>
      </c>
      <c r="N211">
        <v>71</v>
      </c>
      <c r="O211">
        <v>860307</v>
      </c>
      <c r="P211">
        <v>722316.16</v>
      </c>
      <c r="Q211">
        <v>0</v>
      </c>
      <c r="R211">
        <v>0</v>
      </c>
      <c r="S211">
        <v>0.017</v>
      </c>
      <c r="T211" t="s">
        <v>25</v>
      </c>
    </row>
    <row r="212" spans="1:20" ht="15">
      <c r="A212" t="s">
        <v>19</v>
      </c>
      <c r="B212" t="s">
        <v>20</v>
      </c>
      <c r="C212" t="str">
        <f t="shared" si="3"/>
        <v>31-Dec-21</v>
      </c>
      <c r="D212" t="s">
        <v>21</v>
      </c>
      <c r="E212" t="s">
        <v>22</v>
      </c>
      <c r="F212" t="str">
        <f>"4511809"</f>
        <v>4511809</v>
      </c>
      <c r="G212" t="s">
        <v>237</v>
      </c>
      <c r="I212" t="s">
        <v>103</v>
      </c>
      <c r="J212">
        <v>0.839602791</v>
      </c>
      <c r="K212">
        <v>40412</v>
      </c>
      <c r="L212">
        <v>4388874.18</v>
      </c>
      <c r="M212">
        <v>3523297.4</v>
      </c>
      <c r="N212">
        <v>167.15</v>
      </c>
      <c r="O212">
        <v>6754865.8</v>
      </c>
      <c r="P212">
        <v>5671404.18</v>
      </c>
      <c r="Q212">
        <v>0</v>
      </c>
      <c r="R212">
        <v>0</v>
      </c>
      <c r="S212">
        <v>0.131</v>
      </c>
      <c r="T212" t="s">
        <v>25</v>
      </c>
    </row>
    <row r="213" spans="1:20" ht="15">
      <c r="A213" t="s">
        <v>19</v>
      </c>
      <c r="B213" t="s">
        <v>20</v>
      </c>
      <c r="C213" t="str">
        <f t="shared" si="3"/>
        <v>31-Dec-21</v>
      </c>
      <c r="D213" t="s">
        <v>21</v>
      </c>
      <c r="E213" t="s">
        <v>22</v>
      </c>
      <c r="F213" t="str">
        <f>"5120679"</f>
        <v>5120679</v>
      </c>
      <c r="G213" t="s">
        <v>238</v>
      </c>
      <c r="I213" t="s">
        <v>103</v>
      </c>
      <c r="J213">
        <v>0.839602791</v>
      </c>
      <c r="K213">
        <v>100494</v>
      </c>
      <c r="L213">
        <v>7194599.62</v>
      </c>
      <c r="M213">
        <v>5608108.2</v>
      </c>
      <c r="N213">
        <v>59.52</v>
      </c>
      <c r="O213">
        <v>5981402.88</v>
      </c>
      <c r="P213">
        <v>5022002.55</v>
      </c>
      <c r="Q213">
        <v>0</v>
      </c>
      <c r="R213">
        <v>0</v>
      </c>
      <c r="S213">
        <v>0.116</v>
      </c>
      <c r="T213" t="s">
        <v>25</v>
      </c>
    </row>
    <row r="214" spans="1:20" ht="15">
      <c r="A214" t="s">
        <v>19</v>
      </c>
      <c r="B214" t="s">
        <v>20</v>
      </c>
      <c r="C214" t="str">
        <f t="shared" si="3"/>
        <v>31-Dec-21</v>
      </c>
      <c r="D214" t="s">
        <v>21</v>
      </c>
      <c r="E214" t="s">
        <v>22</v>
      </c>
      <c r="F214" t="str">
        <f>"B0CCH46"</f>
        <v>B0CCH46</v>
      </c>
      <c r="G214" t="s">
        <v>239</v>
      </c>
      <c r="I214" t="s">
        <v>103</v>
      </c>
      <c r="J214">
        <v>0.839602791</v>
      </c>
      <c r="K214">
        <v>69654</v>
      </c>
      <c r="L214">
        <v>4877578.48</v>
      </c>
      <c r="M214">
        <v>3828383.71</v>
      </c>
      <c r="N214">
        <v>81.15</v>
      </c>
      <c r="O214">
        <v>5652422.1</v>
      </c>
      <c r="P214">
        <v>4745789.37</v>
      </c>
      <c r="Q214">
        <v>0</v>
      </c>
      <c r="R214">
        <v>0</v>
      </c>
      <c r="S214">
        <v>0.11</v>
      </c>
      <c r="T214" t="s">
        <v>25</v>
      </c>
    </row>
    <row r="215" spans="1:20" ht="15">
      <c r="A215" t="s">
        <v>19</v>
      </c>
      <c r="B215" t="s">
        <v>20</v>
      </c>
      <c r="C215" t="str">
        <f t="shared" si="3"/>
        <v>31-Dec-21</v>
      </c>
      <c r="D215" t="s">
        <v>21</v>
      </c>
      <c r="E215" t="s">
        <v>22</v>
      </c>
      <c r="F215" t="str">
        <f>"7792559"</f>
        <v>7792559</v>
      </c>
      <c r="G215" t="s">
        <v>240</v>
      </c>
      <c r="I215" t="s">
        <v>103</v>
      </c>
      <c r="J215">
        <v>0.839602791</v>
      </c>
      <c r="K215">
        <v>158703</v>
      </c>
      <c r="L215">
        <v>12318052.86</v>
      </c>
      <c r="M215">
        <v>9750555.91</v>
      </c>
      <c r="N215">
        <v>98.86</v>
      </c>
      <c r="O215">
        <v>15689378.58</v>
      </c>
      <c r="P215">
        <v>13172846.04</v>
      </c>
      <c r="Q215">
        <v>0</v>
      </c>
      <c r="R215">
        <v>0</v>
      </c>
      <c r="S215">
        <v>0.304</v>
      </c>
      <c r="T215" t="s">
        <v>25</v>
      </c>
    </row>
    <row r="216" spans="1:20" ht="15">
      <c r="A216" t="s">
        <v>19</v>
      </c>
      <c r="B216" t="s">
        <v>20</v>
      </c>
      <c r="C216" t="str">
        <f t="shared" si="3"/>
        <v>31-Dec-21</v>
      </c>
      <c r="D216" t="s">
        <v>21</v>
      </c>
      <c r="E216" t="s">
        <v>22</v>
      </c>
      <c r="F216" t="str">
        <f>"BM9YJV0"</f>
        <v>BM9YJV0</v>
      </c>
      <c r="G216" t="s">
        <v>241</v>
      </c>
      <c r="I216" t="s">
        <v>103</v>
      </c>
      <c r="J216">
        <v>0.839602791</v>
      </c>
      <c r="K216">
        <v>29070</v>
      </c>
      <c r="L216">
        <v>1223371.4</v>
      </c>
      <c r="M216">
        <v>966232.55</v>
      </c>
      <c r="N216">
        <v>59.6</v>
      </c>
      <c r="O216">
        <v>1732572</v>
      </c>
      <c r="P216">
        <v>1454672.29</v>
      </c>
      <c r="Q216">
        <v>0</v>
      </c>
      <c r="R216">
        <v>0</v>
      </c>
      <c r="S216">
        <v>0.034</v>
      </c>
      <c r="T216" t="s">
        <v>25</v>
      </c>
    </row>
    <row r="217" spans="1:20" ht="15">
      <c r="A217" t="s">
        <v>19</v>
      </c>
      <c r="B217" t="s">
        <v>20</v>
      </c>
      <c r="C217" t="str">
        <f t="shared" si="3"/>
        <v>31-Dec-21</v>
      </c>
      <c r="D217" t="s">
        <v>21</v>
      </c>
      <c r="E217" t="s">
        <v>22</v>
      </c>
      <c r="F217" t="str">
        <f>"BYWH8S0"</f>
        <v>BYWH8S0</v>
      </c>
      <c r="G217" t="s">
        <v>242</v>
      </c>
      <c r="I217" t="s">
        <v>103</v>
      </c>
      <c r="J217">
        <v>0.839602791</v>
      </c>
      <c r="K217">
        <v>107359</v>
      </c>
      <c r="L217">
        <v>4753298.94</v>
      </c>
      <c r="M217">
        <v>4293029.03</v>
      </c>
      <c r="N217">
        <v>67.54</v>
      </c>
      <c r="O217">
        <v>7251026.86</v>
      </c>
      <c r="P217">
        <v>6087982.39</v>
      </c>
      <c r="Q217">
        <v>0</v>
      </c>
      <c r="R217">
        <v>0</v>
      </c>
      <c r="S217">
        <v>0.141</v>
      </c>
      <c r="T217" t="s">
        <v>25</v>
      </c>
    </row>
    <row r="218" spans="1:20" ht="15">
      <c r="A218" t="s">
        <v>19</v>
      </c>
      <c r="B218" t="s">
        <v>20</v>
      </c>
      <c r="C218" t="str">
        <f t="shared" si="3"/>
        <v>31-Dec-21</v>
      </c>
      <c r="D218" t="s">
        <v>21</v>
      </c>
      <c r="E218" t="s">
        <v>22</v>
      </c>
      <c r="F218" t="str">
        <f>"5002465"</f>
        <v>5002465</v>
      </c>
      <c r="G218" t="s">
        <v>243</v>
      </c>
      <c r="I218" t="s">
        <v>103</v>
      </c>
      <c r="J218">
        <v>0.839602791</v>
      </c>
      <c r="K218">
        <v>67940</v>
      </c>
      <c r="L218">
        <v>5979562.53</v>
      </c>
      <c r="M218">
        <v>4720270.02</v>
      </c>
      <c r="N218">
        <v>68.7</v>
      </c>
      <c r="O218">
        <v>4667478</v>
      </c>
      <c r="P218">
        <v>3918827.55</v>
      </c>
      <c r="Q218">
        <v>0</v>
      </c>
      <c r="R218">
        <v>0</v>
      </c>
      <c r="S218">
        <v>0.091</v>
      </c>
      <c r="T218" t="s">
        <v>25</v>
      </c>
    </row>
    <row r="219" spans="1:20" ht="15">
      <c r="A219" t="s">
        <v>19</v>
      </c>
      <c r="B219" t="s">
        <v>20</v>
      </c>
      <c r="C219" t="str">
        <f t="shared" si="3"/>
        <v>31-Dec-21</v>
      </c>
      <c r="D219" t="s">
        <v>21</v>
      </c>
      <c r="E219" t="s">
        <v>22</v>
      </c>
      <c r="F219" t="str">
        <f>"5076705"</f>
        <v>5076705</v>
      </c>
      <c r="G219" t="s">
        <v>244</v>
      </c>
      <c r="I219" t="s">
        <v>103</v>
      </c>
      <c r="J219">
        <v>0.839602791</v>
      </c>
      <c r="K219">
        <v>116938</v>
      </c>
      <c r="L219">
        <v>11903155.28</v>
      </c>
      <c r="M219">
        <v>9135445.7</v>
      </c>
      <c r="N219">
        <v>71.14</v>
      </c>
      <c r="O219">
        <v>8318969.32</v>
      </c>
      <c r="P219">
        <v>6984629.86</v>
      </c>
      <c r="Q219">
        <v>0</v>
      </c>
      <c r="R219">
        <v>0</v>
      </c>
      <c r="S219">
        <v>0.161</v>
      </c>
      <c r="T219" t="s">
        <v>25</v>
      </c>
    </row>
    <row r="220" spans="1:20" ht="15">
      <c r="A220" t="s">
        <v>19</v>
      </c>
      <c r="B220" t="s">
        <v>20</v>
      </c>
      <c r="C220" t="str">
        <f t="shared" si="3"/>
        <v>31-Dec-21</v>
      </c>
      <c r="D220" t="s">
        <v>21</v>
      </c>
      <c r="E220" t="s">
        <v>22</v>
      </c>
      <c r="F220" t="str">
        <f>"7598003"</f>
        <v>7598003</v>
      </c>
      <c r="G220" t="s">
        <v>245</v>
      </c>
      <c r="I220" t="s">
        <v>103</v>
      </c>
      <c r="J220">
        <v>0.839602791</v>
      </c>
      <c r="K220">
        <v>535759</v>
      </c>
      <c r="L220">
        <v>1645658.46</v>
      </c>
      <c r="M220">
        <v>1414932.33</v>
      </c>
      <c r="N220">
        <v>3.661</v>
      </c>
      <c r="O220">
        <v>1961413.7</v>
      </c>
      <c r="P220">
        <v>1646808.42</v>
      </c>
      <c r="Q220">
        <v>0</v>
      </c>
      <c r="R220">
        <v>0</v>
      </c>
      <c r="S220">
        <v>0.038</v>
      </c>
      <c r="T220" t="s">
        <v>25</v>
      </c>
    </row>
    <row r="221" spans="1:20" ht="15">
      <c r="A221" t="s">
        <v>19</v>
      </c>
      <c r="B221" t="s">
        <v>20</v>
      </c>
      <c r="C221" t="str">
        <f t="shared" si="3"/>
        <v>31-Dec-21</v>
      </c>
      <c r="D221" t="s">
        <v>21</v>
      </c>
      <c r="E221" t="s">
        <v>22</v>
      </c>
      <c r="F221" t="str">
        <f>"5253973"</f>
        <v>5253973</v>
      </c>
      <c r="G221" t="s">
        <v>246</v>
      </c>
      <c r="I221" t="s">
        <v>103</v>
      </c>
      <c r="J221">
        <v>0.839602791</v>
      </c>
      <c r="K221">
        <v>20490</v>
      </c>
      <c r="L221">
        <v>9537945.5</v>
      </c>
      <c r="M221">
        <v>7439451.38</v>
      </c>
      <c r="N221">
        <v>1536</v>
      </c>
      <c r="O221">
        <v>31472640</v>
      </c>
      <c r="P221">
        <v>26424516.38</v>
      </c>
      <c r="Q221">
        <v>0</v>
      </c>
      <c r="R221">
        <v>0</v>
      </c>
      <c r="S221">
        <v>0.611</v>
      </c>
      <c r="T221" t="s">
        <v>25</v>
      </c>
    </row>
    <row r="222" spans="1:20" ht="15">
      <c r="A222" t="s">
        <v>19</v>
      </c>
      <c r="B222" t="s">
        <v>20</v>
      </c>
      <c r="C222" t="str">
        <f t="shared" si="3"/>
        <v>31-Dec-21</v>
      </c>
      <c r="D222" t="s">
        <v>21</v>
      </c>
      <c r="E222" t="s">
        <v>22</v>
      </c>
      <c r="F222" t="str">
        <f>"4447476"</f>
        <v>4447476</v>
      </c>
      <c r="G222" t="s">
        <v>247</v>
      </c>
      <c r="I222" t="s">
        <v>103</v>
      </c>
      <c r="J222">
        <v>0.839602791</v>
      </c>
      <c r="K222">
        <v>59759</v>
      </c>
      <c r="L222">
        <v>2291599.26</v>
      </c>
      <c r="M222">
        <v>1961325.75</v>
      </c>
      <c r="N222">
        <v>38.89</v>
      </c>
      <c r="O222">
        <v>2324027.51</v>
      </c>
      <c r="P222">
        <v>1951259.98</v>
      </c>
      <c r="Q222">
        <v>0</v>
      </c>
      <c r="R222">
        <v>0</v>
      </c>
      <c r="S222">
        <v>0.045</v>
      </c>
      <c r="T222" t="s">
        <v>25</v>
      </c>
    </row>
    <row r="223" spans="1:20" ht="15">
      <c r="A223" t="s">
        <v>19</v>
      </c>
      <c r="B223" t="s">
        <v>20</v>
      </c>
      <c r="C223" t="str">
        <f t="shared" si="3"/>
        <v>31-Dec-21</v>
      </c>
      <c r="D223" t="s">
        <v>21</v>
      </c>
      <c r="E223" t="s">
        <v>22</v>
      </c>
      <c r="F223" t="str">
        <f>"4554406"</f>
        <v>4554406</v>
      </c>
      <c r="G223" t="s">
        <v>248</v>
      </c>
      <c r="I223" t="s">
        <v>103</v>
      </c>
      <c r="J223">
        <v>0.839602791</v>
      </c>
      <c r="K223">
        <v>20706</v>
      </c>
      <c r="L223">
        <v>1559090.91</v>
      </c>
      <c r="M223">
        <v>1198196.13</v>
      </c>
      <c r="N223">
        <v>63.1</v>
      </c>
      <c r="O223">
        <v>1306548.6</v>
      </c>
      <c r="P223">
        <v>1096981.85</v>
      </c>
      <c r="Q223">
        <v>0</v>
      </c>
      <c r="R223">
        <v>0</v>
      </c>
      <c r="S223">
        <v>0.025</v>
      </c>
      <c r="T223" t="s">
        <v>25</v>
      </c>
    </row>
    <row r="224" spans="1:20" ht="15">
      <c r="A224" t="s">
        <v>19</v>
      </c>
      <c r="B224" t="s">
        <v>20</v>
      </c>
      <c r="C224" t="str">
        <f t="shared" si="3"/>
        <v>31-Dec-21</v>
      </c>
      <c r="D224" t="s">
        <v>21</v>
      </c>
      <c r="E224" t="s">
        <v>22</v>
      </c>
      <c r="F224" t="str">
        <f>"BNCBD46"</f>
        <v>BNCBD46</v>
      </c>
      <c r="G224" t="s">
        <v>249</v>
      </c>
      <c r="I224" t="s">
        <v>103</v>
      </c>
      <c r="J224">
        <v>0.839602791</v>
      </c>
      <c r="K224">
        <v>37996</v>
      </c>
      <c r="L224">
        <v>4129515.2</v>
      </c>
      <c r="M224">
        <v>3757572.12</v>
      </c>
      <c r="N224">
        <v>194.7</v>
      </c>
      <c r="O224">
        <v>7397821.2</v>
      </c>
      <c r="P224">
        <v>6211231.33</v>
      </c>
      <c r="Q224">
        <v>0</v>
      </c>
      <c r="R224">
        <v>0</v>
      </c>
      <c r="S224">
        <v>0.144</v>
      </c>
      <c r="T224" t="s">
        <v>25</v>
      </c>
    </row>
    <row r="225" spans="1:20" ht="15">
      <c r="A225" t="s">
        <v>19</v>
      </c>
      <c r="B225" t="s">
        <v>20</v>
      </c>
      <c r="C225" t="str">
        <f t="shared" si="3"/>
        <v>31-Dec-21</v>
      </c>
      <c r="D225" t="s">
        <v>21</v>
      </c>
      <c r="E225" t="s">
        <v>22</v>
      </c>
      <c r="F225" t="str">
        <f>"BZ57390"</f>
        <v>BZ57390</v>
      </c>
      <c r="G225" t="s">
        <v>250</v>
      </c>
      <c r="I225" t="s">
        <v>103</v>
      </c>
      <c r="J225">
        <v>0.839602791</v>
      </c>
      <c r="K225">
        <v>2520391</v>
      </c>
      <c r="L225">
        <v>31926869.58</v>
      </c>
      <c r="M225">
        <v>24384815.25</v>
      </c>
      <c r="N225">
        <v>12.242</v>
      </c>
      <c r="O225">
        <v>30854626.62</v>
      </c>
      <c r="P225">
        <v>25905630.62</v>
      </c>
      <c r="Q225">
        <v>0</v>
      </c>
      <c r="R225">
        <v>0</v>
      </c>
      <c r="S225">
        <v>0.599</v>
      </c>
      <c r="T225" t="s">
        <v>25</v>
      </c>
    </row>
    <row r="226" spans="1:20" ht="15">
      <c r="A226" t="s">
        <v>19</v>
      </c>
      <c r="B226" t="s">
        <v>20</v>
      </c>
      <c r="C226" t="str">
        <f t="shared" si="3"/>
        <v>31-Dec-21</v>
      </c>
      <c r="D226" t="s">
        <v>21</v>
      </c>
      <c r="E226" t="s">
        <v>22</v>
      </c>
      <c r="F226" t="str">
        <f>"B288C92"</f>
        <v>B288C92</v>
      </c>
      <c r="G226" t="s">
        <v>251</v>
      </c>
      <c r="I226" t="s">
        <v>103</v>
      </c>
      <c r="J226">
        <v>0.839602791</v>
      </c>
      <c r="K226">
        <v>3815269</v>
      </c>
      <c r="L226">
        <v>22517002.04</v>
      </c>
      <c r="M226">
        <v>18313180.91</v>
      </c>
      <c r="N226">
        <v>10.41</v>
      </c>
      <c r="O226">
        <v>39716950.29</v>
      </c>
      <c r="P226">
        <v>33346462.31</v>
      </c>
      <c r="Q226">
        <v>0</v>
      </c>
      <c r="R226">
        <v>0</v>
      </c>
      <c r="S226">
        <v>0.771</v>
      </c>
      <c r="T226" t="s">
        <v>25</v>
      </c>
    </row>
    <row r="227" spans="1:20" ht="15">
      <c r="A227" t="s">
        <v>19</v>
      </c>
      <c r="B227" t="s">
        <v>20</v>
      </c>
      <c r="C227" t="str">
        <f t="shared" si="3"/>
        <v>31-Dec-21</v>
      </c>
      <c r="D227" t="s">
        <v>21</v>
      </c>
      <c r="E227" t="s">
        <v>22</v>
      </c>
      <c r="F227" t="str">
        <f>"B011GL4"</f>
        <v>B011GL4</v>
      </c>
      <c r="G227" t="s">
        <v>252</v>
      </c>
      <c r="I227" t="s">
        <v>103</v>
      </c>
      <c r="J227">
        <v>0.839602791</v>
      </c>
      <c r="K227">
        <v>26368</v>
      </c>
      <c r="L227">
        <v>1704696.63</v>
      </c>
      <c r="M227">
        <v>1303003.02</v>
      </c>
      <c r="N227">
        <v>36.54</v>
      </c>
      <c r="O227">
        <v>963486.72</v>
      </c>
      <c r="P227">
        <v>808946.14</v>
      </c>
      <c r="Q227">
        <v>0</v>
      </c>
      <c r="R227">
        <v>0</v>
      </c>
      <c r="S227">
        <v>0.019</v>
      </c>
      <c r="T227" t="s">
        <v>25</v>
      </c>
    </row>
    <row r="228" spans="1:20" ht="15">
      <c r="A228" t="s">
        <v>19</v>
      </c>
      <c r="B228" t="s">
        <v>20</v>
      </c>
      <c r="C228" t="str">
        <f t="shared" si="3"/>
        <v>31-Dec-21</v>
      </c>
      <c r="D228" t="s">
        <v>21</v>
      </c>
      <c r="E228" t="s">
        <v>22</v>
      </c>
      <c r="F228" t="str">
        <f>"BN4N9C0"</f>
        <v>BN4N9C0</v>
      </c>
      <c r="G228" t="s">
        <v>253</v>
      </c>
      <c r="I228" t="s">
        <v>103</v>
      </c>
      <c r="J228">
        <v>0.839602791</v>
      </c>
      <c r="K228">
        <v>130517</v>
      </c>
      <c r="L228">
        <v>1913569.29</v>
      </c>
      <c r="M228">
        <v>1643291.15</v>
      </c>
      <c r="N228">
        <v>10.598</v>
      </c>
      <c r="O228">
        <v>1383219.17</v>
      </c>
      <c r="P228">
        <v>1161354.68</v>
      </c>
      <c r="Q228">
        <v>0</v>
      </c>
      <c r="R228">
        <v>0</v>
      </c>
      <c r="S228">
        <v>0.027</v>
      </c>
      <c r="T228" t="s">
        <v>25</v>
      </c>
    </row>
    <row r="229" spans="1:20" ht="15">
      <c r="A229" t="s">
        <v>19</v>
      </c>
      <c r="B229" t="s">
        <v>20</v>
      </c>
      <c r="C229" t="str">
        <f t="shared" si="3"/>
        <v>31-Dec-21</v>
      </c>
      <c r="D229" t="s">
        <v>21</v>
      </c>
      <c r="E229" t="s">
        <v>22</v>
      </c>
      <c r="F229" t="str">
        <f>"BP9DL90"</f>
        <v>BP9DL90</v>
      </c>
      <c r="G229" t="s">
        <v>254</v>
      </c>
      <c r="I229" t="s">
        <v>103</v>
      </c>
      <c r="J229">
        <v>0.839602791</v>
      </c>
      <c r="K229">
        <v>698583</v>
      </c>
      <c r="L229">
        <v>19516084.45</v>
      </c>
      <c r="M229">
        <v>15121057.47</v>
      </c>
      <c r="N229">
        <v>28.53</v>
      </c>
      <c r="O229">
        <v>19930572.99</v>
      </c>
      <c r="P229">
        <v>16733764.7</v>
      </c>
      <c r="Q229">
        <v>0</v>
      </c>
      <c r="R229">
        <v>0</v>
      </c>
      <c r="S229">
        <v>0.387</v>
      </c>
      <c r="T229" t="s">
        <v>25</v>
      </c>
    </row>
    <row r="230" spans="1:20" ht="15">
      <c r="A230" t="s">
        <v>19</v>
      </c>
      <c r="B230" t="s">
        <v>20</v>
      </c>
      <c r="C230" t="str">
        <f t="shared" si="3"/>
        <v>31-Dec-21</v>
      </c>
      <c r="D230" t="s">
        <v>21</v>
      </c>
      <c r="E230" t="s">
        <v>22</v>
      </c>
      <c r="F230" t="str">
        <f>"5889505"</f>
        <v>5889505</v>
      </c>
      <c r="G230" t="s">
        <v>255</v>
      </c>
      <c r="I230" t="s">
        <v>103</v>
      </c>
      <c r="J230">
        <v>0.839602791</v>
      </c>
      <c r="K230">
        <v>840906</v>
      </c>
      <c r="L230">
        <v>12089012.93</v>
      </c>
      <c r="M230">
        <v>9738141.61</v>
      </c>
      <c r="N230">
        <v>40.76</v>
      </c>
      <c r="O230">
        <v>34275328.56</v>
      </c>
      <c r="P230">
        <v>28777661.51</v>
      </c>
      <c r="Q230">
        <v>0</v>
      </c>
      <c r="R230">
        <v>0</v>
      </c>
      <c r="S230">
        <v>0.665</v>
      </c>
      <c r="T230" t="s">
        <v>25</v>
      </c>
    </row>
    <row r="231" spans="1:20" ht="15">
      <c r="A231" t="s">
        <v>19</v>
      </c>
      <c r="B231" t="s">
        <v>20</v>
      </c>
      <c r="C231" t="str">
        <f t="shared" si="3"/>
        <v>31-Dec-21</v>
      </c>
      <c r="D231" t="s">
        <v>21</v>
      </c>
      <c r="E231" t="s">
        <v>22</v>
      </c>
      <c r="F231" t="str">
        <f>"BZ0P4R4"</f>
        <v>BZ0P4R4</v>
      </c>
      <c r="G231" t="s">
        <v>256</v>
      </c>
      <c r="I231" t="s">
        <v>103</v>
      </c>
      <c r="J231">
        <v>0.839602791</v>
      </c>
      <c r="K231">
        <v>237318</v>
      </c>
      <c r="L231">
        <v>2217878.04</v>
      </c>
      <c r="M231">
        <v>1943919.08</v>
      </c>
      <c r="N231">
        <v>10.68</v>
      </c>
      <c r="O231">
        <v>2534556.24</v>
      </c>
      <c r="P231">
        <v>2128020.49</v>
      </c>
      <c r="Q231">
        <v>0</v>
      </c>
      <c r="R231">
        <v>0</v>
      </c>
      <c r="S231">
        <v>0.049</v>
      </c>
      <c r="T231" t="s">
        <v>25</v>
      </c>
    </row>
    <row r="232" spans="1:20" ht="15">
      <c r="A232" t="s">
        <v>19</v>
      </c>
      <c r="B232" t="s">
        <v>20</v>
      </c>
      <c r="C232" t="str">
        <f t="shared" si="3"/>
        <v>31-Dec-21</v>
      </c>
      <c r="D232" t="s">
        <v>21</v>
      </c>
      <c r="E232" t="s">
        <v>22</v>
      </c>
      <c r="F232" t="str">
        <f>"BD0PJ08"</f>
        <v>BD0PJ08</v>
      </c>
      <c r="G232" t="s">
        <v>257</v>
      </c>
      <c r="I232" t="s">
        <v>103</v>
      </c>
      <c r="J232">
        <v>0.839602791</v>
      </c>
      <c r="K232">
        <v>226113</v>
      </c>
      <c r="L232">
        <v>2111357.86</v>
      </c>
      <c r="M232">
        <v>1861042.89</v>
      </c>
      <c r="N232">
        <v>8.25</v>
      </c>
      <c r="O232">
        <v>1865432.25</v>
      </c>
      <c r="P232">
        <v>1566222.12</v>
      </c>
      <c r="Q232">
        <v>0</v>
      </c>
      <c r="R232">
        <v>0</v>
      </c>
      <c r="S232">
        <v>0.036</v>
      </c>
      <c r="T232" t="s">
        <v>25</v>
      </c>
    </row>
    <row r="233" spans="1:20" ht="15">
      <c r="A233" t="s">
        <v>19</v>
      </c>
      <c r="B233" t="s">
        <v>20</v>
      </c>
      <c r="C233" t="str">
        <f t="shared" si="3"/>
        <v>31-Dec-21</v>
      </c>
      <c r="D233" t="s">
        <v>21</v>
      </c>
      <c r="E233" t="s">
        <v>22</v>
      </c>
      <c r="F233" t="str">
        <f>"5161407"</f>
        <v>5161407</v>
      </c>
      <c r="G233" t="s">
        <v>258</v>
      </c>
      <c r="I233" t="s">
        <v>103</v>
      </c>
      <c r="J233">
        <v>0.839602791</v>
      </c>
      <c r="K233">
        <v>51957</v>
      </c>
      <c r="L233">
        <v>3076944.46</v>
      </c>
      <c r="M233">
        <v>2627052.97</v>
      </c>
      <c r="N233">
        <v>64.45</v>
      </c>
      <c r="O233">
        <v>3348628.65</v>
      </c>
      <c r="P233">
        <v>2811517.96</v>
      </c>
      <c r="Q233">
        <v>0</v>
      </c>
      <c r="R233">
        <v>0</v>
      </c>
      <c r="S233">
        <v>0.065</v>
      </c>
      <c r="T233" t="s">
        <v>25</v>
      </c>
    </row>
    <row r="234" spans="1:20" ht="15">
      <c r="A234" t="s">
        <v>19</v>
      </c>
      <c r="B234" t="s">
        <v>20</v>
      </c>
      <c r="C234" t="str">
        <f t="shared" si="3"/>
        <v>31-Dec-21</v>
      </c>
      <c r="D234" t="s">
        <v>21</v>
      </c>
      <c r="E234" t="s">
        <v>22</v>
      </c>
      <c r="F234" t="str">
        <f>"4076836"</f>
        <v>4076836</v>
      </c>
      <c r="G234" t="s">
        <v>259</v>
      </c>
      <c r="I234" t="s">
        <v>103</v>
      </c>
      <c r="J234">
        <v>0.839602791</v>
      </c>
      <c r="K234">
        <v>10984975</v>
      </c>
      <c r="L234">
        <v>28759789.33</v>
      </c>
      <c r="M234">
        <v>22527344.21</v>
      </c>
      <c r="N234">
        <v>2.274</v>
      </c>
      <c r="O234">
        <v>24979833.15</v>
      </c>
      <c r="P234">
        <v>20973137.63</v>
      </c>
      <c r="Q234">
        <v>0</v>
      </c>
      <c r="R234">
        <v>0</v>
      </c>
      <c r="S234">
        <v>0.485</v>
      </c>
      <c r="T234" t="s">
        <v>25</v>
      </c>
    </row>
    <row r="235" spans="1:20" ht="15">
      <c r="A235" t="s">
        <v>19</v>
      </c>
      <c r="B235" t="s">
        <v>20</v>
      </c>
      <c r="C235" t="str">
        <f t="shared" si="3"/>
        <v>31-Dec-21</v>
      </c>
      <c r="D235" t="s">
        <v>21</v>
      </c>
      <c r="E235" t="s">
        <v>22</v>
      </c>
      <c r="F235" t="str">
        <f>"B0R7JF1"</f>
        <v>B0R7JF1</v>
      </c>
      <c r="G235" t="s">
        <v>260</v>
      </c>
      <c r="I235" t="s">
        <v>103</v>
      </c>
      <c r="J235">
        <v>0.839602791</v>
      </c>
      <c r="K235">
        <v>21395</v>
      </c>
      <c r="L235">
        <v>1369338.6</v>
      </c>
      <c r="M235">
        <v>1083995.85</v>
      </c>
      <c r="N235">
        <v>80.5</v>
      </c>
      <c r="O235">
        <v>1722297.5</v>
      </c>
      <c r="P235">
        <v>1446045.79</v>
      </c>
      <c r="Q235">
        <v>0</v>
      </c>
      <c r="R235">
        <v>0</v>
      </c>
      <c r="S235">
        <v>0.033</v>
      </c>
      <c r="T235" t="s">
        <v>25</v>
      </c>
    </row>
    <row r="236" spans="1:20" ht="15">
      <c r="A236" t="s">
        <v>19</v>
      </c>
      <c r="B236" t="s">
        <v>20</v>
      </c>
      <c r="C236" t="str">
        <f t="shared" si="3"/>
        <v>31-Dec-21</v>
      </c>
      <c r="D236" t="s">
        <v>21</v>
      </c>
      <c r="E236" t="s">
        <v>22</v>
      </c>
      <c r="F236" t="str">
        <f>"BD2Z8S7"</f>
        <v>BD2Z8S7</v>
      </c>
      <c r="G236" t="s">
        <v>261</v>
      </c>
      <c r="I236" t="s">
        <v>103</v>
      </c>
      <c r="J236">
        <v>0.839602791</v>
      </c>
      <c r="K236">
        <v>304130</v>
      </c>
      <c r="L236">
        <v>1329296.14</v>
      </c>
      <c r="M236">
        <v>1035421.01</v>
      </c>
      <c r="N236">
        <v>6.052</v>
      </c>
      <c r="O236">
        <v>1840594.76</v>
      </c>
      <c r="P236">
        <v>1545368.5</v>
      </c>
      <c r="Q236">
        <v>0</v>
      </c>
      <c r="R236">
        <v>0</v>
      </c>
      <c r="S236">
        <v>0.036</v>
      </c>
      <c r="T236" t="s">
        <v>25</v>
      </c>
    </row>
    <row r="237" spans="1:20" ht="15">
      <c r="A237" t="s">
        <v>19</v>
      </c>
      <c r="B237" t="s">
        <v>20</v>
      </c>
      <c r="C237" t="str">
        <f t="shared" si="3"/>
        <v>31-Dec-21</v>
      </c>
      <c r="D237" t="s">
        <v>21</v>
      </c>
      <c r="E237" t="s">
        <v>22</v>
      </c>
      <c r="F237" t="str">
        <f>"7136663"</f>
        <v>7136663</v>
      </c>
      <c r="G237" t="s">
        <v>262</v>
      </c>
      <c r="I237" t="s">
        <v>103</v>
      </c>
      <c r="J237">
        <v>0.839602791</v>
      </c>
      <c r="K237">
        <v>45889</v>
      </c>
      <c r="L237">
        <v>1436121.44</v>
      </c>
      <c r="M237">
        <v>1090324.38</v>
      </c>
      <c r="N237">
        <v>22</v>
      </c>
      <c r="O237">
        <v>1009558</v>
      </c>
      <c r="P237">
        <v>847627.71</v>
      </c>
      <c r="Q237">
        <v>0</v>
      </c>
      <c r="R237">
        <v>0</v>
      </c>
      <c r="S237">
        <v>0.02</v>
      </c>
      <c r="T237" t="s">
        <v>25</v>
      </c>
    </row>
    <row r="238" spans="1:20" ht="15">
      <c r="A238" t="s">
        <v>19</v>
      </c>
      <c r="B238" t="s">
        <v>20</v>
      </c>
      <c r="C238" t="str">
        <f t="shared" si="3"/>
        <v>31-Dec-21</v>
      </c>
      <c r="D238" t="s">
        <v>21</v>
      </c>
      <c r="E238" t="s">
        <v>22</v>
      </c>
      <c r="F238" t="str">
        <f>"BMC4ZZ3"</f>
        <v>BMC4ZZ3</v>
      </c>
      <c r="G238" t="s">
        <v>263</v>
      </c>
      <c r="I238" t="s">
        <v>103</v>
      </c>
      <c r="J238">
        <v>0.839602791</v>
      </c>
      <c r="K238">
        <v>54034</v>
      </c>
      <c r="L238">
        <v>1693768.43</v>
      </c>
      <c r="M238">
        <v>1454535.6</v>
      </c>
      <c r="N238">
        <v>27.1</v>
      </c>
      <c r="O238">
        <v>1464321.4</v>
      </c>
      <c r="P238">
        <v>1229448.33</v>
      </c>
      <c r="Q238">
        <v>0</v>
      </c>
      <c r="R238">
        <v>0</v>
      </c>
      <c r="S238">
        <v>0.028</v>
      </c>
      <c r="T238" t="s">
        <v>25</v>
      </c>
    </row>
    <row r="239" spans="1:20" ht="15">
      <c r="A239" t="s">
        <v>19</v>
      </c>
      <c r="B239" t="s">
        <v>20</v>
      </c>
      <c r="C239" t="str">
        <f t="shared" si="3"/>
        <v>31-Dec-21</v>
      </c>
      <c r="D239" t="s">
        <v>21</v>
      </c>
      <c r="E239" t="s">
        <v>22</v>
      </c>
      <c r="F239" t="str">
        <f>"B1Y1SQ7"</f>
        <v>B1Y1SQ7</v>
      </c>
      <c r="G239" t="s">
        <v>264</v>
      </c>
      <c r="I239" t="s">
        <v>103</v>
      </c>
      <c r="J239">
        <v>0.839602791</v>
      </c>
      <c r="K239">
        <v>162142</v>
      </c>
      <c r="L239">
        <v>1994266.33</v>
      </c>
      <c r="M239">
        <v>1536969.73</v>
      </c>
      <c r="N239">
        <v>20.1</v>
      </c>
      <c r="O239">
        <v>3259054.2</v>
      </c>
      <c r="P239">
        <v>2736311</v>
      </c>
      <c r="Q239">
        <v>0</v>
      </c>
      <c r="R239">
        <v>0</v>
      </c>
      <c r="S239">
        <v>0.063</v>
      </c>
      <c r="T239" t="s">
        <v>25</v>
      </c>
    </row>
    <row r="240" spans="1:20" ht="15">
      <c r="A240" t="s">
        <v>19</v>
      </c>
      <c r="B240" t="s">
        <v>20</v>
      </c>
      <c r="C240" t="str">
        <f t="shared" si="3"/>
        <v>31-Dec-21</v>
      </c>
      <c r="D240" t="s">
        <v>21</v>
      </c>
      <c r="E240" t="s">
        <v>22</v>
      </c>
      <c r="F240" t="str">
        <f>"BYQ7HZ6"</f>
        <v>BYQ7HZ6</v>
      </c>
      <c r="G240" t="s">
        <v>265</v>
      </c>
      <c r="I240" t="s">
        <v>103</v>
      </c>
      <c r="J240">
        <v>0.839602791</v>
      </c>
      <c r="K240">
        <v>118094</v>
      </c>
      <c r="L240">
        <v>8699424.8</v>
      </c>
      <c r="M240">
        <v>7429792.44</v>
      </c>
      <c r="N240">
        <v>48.47</v>
      </c>
      <c r="O240">
        <v>5724016.18</v>
      </c>
      <c r="P240">
        <v>4805899.96</v>
      </c>
      <c r="Q240">
        <v>0</v>
      </c>
      <c r="R240">
        <v>0</v>
      </c>
      <c r="S240">
        <v>0.111</v>
      </c>
      <c r="T240" t="s">
        <v>25</v>
      </c>
    </row>
    <row r="241" spans="1:20" ht="15">
      <c r="A241" t="s">
        <v>19</v>
      </c>
      <c r="B241" t="s">
        <v>20</v>
      </c>
      <c r="C241" t="str">
        <f t="shared" si="3"/>
        <v>31-Dec-21</v>
      </c>
      <c r="D241" t="s">
        <v>21</v>
      </c>
      <c r="E241" t="s">
        <v>22</v>
      </c>
      <c r="F241" t="str">
        <f>"4497749"</f>
        <v>4497749</v>
      </c>
      <c r="G241" t="s">
        <v>266</v>
      </c>
      <c r="I241" t="s">
        <v>103</v>
      </c>
      <c r="J241">
        <v>0.839602791</v>
      </c>
      <c r="K241">
        <v>181832</v>
      </c>
      <c r="L241">
        <v>10515217.19</v>
      </c>
      <c r="M241">
        <v>8095629.8</v>
      </c>
      <c r="N241">
        <v>75.46</v>
      </c>
      <c r="O241">
        <v>13721042.72</v>
      </c>
      <c r="P241">
        <v>11520225.76</v>
      </c>
      <c r="Q241">
        <v>0</v>
      </c>
      <c r="R241">
        <v>0</v>
      </c>
      <c r="S241">
        <v>0.266</v>
      </c>
      <c r="T241" t="s">
        <v>25</v>
      </c>
    </row>
    <row r="242" spans="1:20" ht="15">
      <c r="A242" t="s">
        <v>19</v>
      </c>
      <c r="B242" t="s">
        <v>20</v>
      </c>
      <c r="C242" t="str">
        <f t="shared" si="3"/>
        <v>31-Dec-21</v>
      </c>
      <c r="D242" t="s">
        <v>21</v>
      </c>
      <c r="E242" t="s">
        <v>22</v>
      </c>
      <c r="F242" t="str">
        <f>"BB22L96"</f>
        <v>BB22L96</v>
      </c>
      <c r="G242" t="s">
        <v>267</v>
      </c>
      <c r="I242" t="s">
        <v>103</v>
      </c>
      <c r="J242">
        <v>0.839602791</v>
      </c>
      <c r="K242">
        <v>50389</v>
      </c>
      <c r="L242">
        <v>2887685.22</v>
      </c>
      <c r="M242">
        <v>2410916.91</v>
      </c>
      <c r="N242">
        <v>96.48</v>
      </c>
      <c r="O242">
        <v>4861530.72</v>
      </c>
      <c r="P242">
        <v>4081754.76</v>
      </c>
      <c r="Q242">
        <v>0</v>
      </c>
      <c r="R242">
        <v>0</v>
      </c>
      <c r="S242">
        <v>0.094</v>
      </c>
      <c r="T242" t="s">
        <v>25</v>
      </c>
    </row>
    <row r="243" spans="1:20" ht="15">
      <c r="A243" t="s">
        <v>19</v>
      </c>
      <c r="B243" t="s">
        <v>20</v>
      </c>
      <c r="C243" t="str">
        <f t="shared" si="3"/>
        <v>31-Dec-21</v>
      </c>
      <c r="D243" t="s">
        <v>21</v>
      </c>
      <c r="E243" t="s">
        <v>22</v>
      </c>
      <c r="F243" t="str">
        <f>"5505072"</f>
        <v>5505072</v>
      </c>
      <c r="G243" t="s">
        <v>268</v>
      </c>
      <c r="I243" t="s">
        <v>103</v>
      </c>
      <c r="J243">
        <v>0.839602791</v>
      </c>
      <c r="K243">
        <v>47628</v>
      </c>
      <c r="L243">
        <v>11752727.5</v>
      </c>
      <c r="M243">
        <v>9557629.68</v>
      </c>
      <c r="N243">
        <v>706.9</v>
      </c>
      <c r="O243">
        <v>33668233.2</v>
      </c>
      <c r="P243">
        <v>28267942.56</v>
      </c>
      <c r="Q243">
        <v>0</v>
      </c>
      <c r="R243">
        <v>0</v>
      </c>
      <c r="S243">
        <v>0.653</v>
      </c>
      <c r="T243" t="s">
        <v>25</v>
      </c>
    </row>
    <row r="244" spans="1:20" ht="15">
      <c r="A244" t="s">
        <v>19</v>
      </c>
      <c r="B244" t="s">
        <v>20</v>
      </c>
      <c r="C244" t="str">
        <f t="shared" si="3"/>
        <v>31-Dec-21</v>
      </c>
      <c r="D244" t="s">
        <v>21</v>
      </c>
      <c r="E244" t="s">
        <v>22</v>
      </c>
      <c r="F244" t="str">
        <f>"4519579"</f>
        <v>4519579</v>
      </c>
      <c r="G244" t="s">
        <v>269</v>
      </c>
      <c r="I244" t="s">
        <v>103</v>
      </c>
      <c r="J244">
        <v>0.839602791</v>
      </c>
      <c r="K244">
        <v>102565</v>
      </c>
      <c r="L244">
        <v>7773423.71</v>
      </c>
      <c r="M244">
        <v>6095609.77</v>
      </c>
      <c r="N244">
        <v>113.25</v>
      </c>
      <c r="O244">
        <v>11615486.25</v>
      </c>
      <c r="P244">
        <v>9752394.67</v>
      </c>
      <c r="Q244">
        <v>0</v>
      </c>
      <c r="R244">
        <v>0</v>
      </c>
      <c r="S244">
        <v>0.225</v>
      </c>
      <c r="T244" t="s">
        <v>25</v>
      </c>
    </row>
    <row r="245" spans="1:20" ht="15">
      <c r="A245" t="s">
        <v>19</v>
      </c>
      <c r="B245" t="s">
        <v>20</v>
      </c>
      <c r="C245" t="str">
        <f t="shared" si="3"/>
        <v>31-Dec-21</v>
      </c>
      <c r="D245" t="s">
        <v>21</v>
      </c>
      <c r="E245" t="s">
        <v>22</v>
      </c>
      <c r="F245" t="str">
        <f>"4490005"</f>
        <v>4490005</v>
      </c>
      <c r="G245" t="s">
        <v>270</v>
      </c>
      <c r="I245" t="s">
        <v>103</v>
      </c>
      <c r="J245">
        <v>0.839602791</v>
      </c>
      <c r="K245">
        <v>178651</v>
      </c>
      <c r="L245">
        <v>2056931.27</v>
      </c>
      <c r="M245">
        <v>1624491.42</v>
      </c>
      <c r="N245">
        <v>29.34</v>
      </c>
      <c r="O245">
        <v>5241620.34</v>
      </c>
      <c r="P245">
        <v>4400879.07</v>
      </c>
      <c r="Q245">
        <v>0</v>
      </c>
      <c r="R245">
        <v>0</v>
      </c>
      <c r="S245">
        <v>0.102</v>
      </c>
      <c r="T245" t="s">
        <v>25</v>
      </c>
    </row>
    <row r="246" spans="1:20" ht="15">
      <c r="A246" t="s">
        <v>19</v>
      </c>
      <c r="B246" t="s">
        <v>20</v>
      </c>
      <c r="C246" t="str">
        <f t="shared" si="3"/>
        <v>31-Dec-21</v>
      </c>
      <c r="D246" t="s">
        <v>21</v>
      </c>
      <c r="E246" t="s">
        <v>22</v>
      </c>
      <c r="F246" t="str">
        <f>"4491235"</f>
        <v>4491235</v>
      </c>
      <c r="G246" t="s">
        <v>271</v>
      </c>
      <c r="I246" t="s">
        <v>103</v>
      </c>
      <c r="J246">
        <v>0.839602791</v>
      </c>
      <c r="K246">
        <v>99028</v>
      </c>
      <c r="L246">
        <v>3453126.71</v>
      </c>
      <c r="M246">
        <v>3009042.51</v>
      </c>
      <c r="N246">
        <v>105</v>
      </c>
      <c r="O246">
        <v>10397940</v>
      </c>
      <c r="P246">
        <v>8730139.44</v>
      </c>
      <c r="Q246">
        <v>0</v>
      </c>
      <c r="R246">
        <v>0</v>
      </c>
      <c r="S246">
        <v>0.202</v>
      </c>
      <c r="T246" t="s">
        <v>25</v>
      </c>
    </row>
    <row r="247" spans="1:20" ht="15">
      <c r="A247" t="s">
        <v>19</v>
      </c>
      <c r="B247" t="s">
        <v>20</v>
      </c>
      <c r="C247" t="str">
        <f t="shared" si="3"/>
        <v>31-Dec-21</v>
      </c>
      <c r="D247" t="s">
        <v>21</v>
      </c>
      <c r="E247" t="s">
        <v>22</v>
      </c>
      <c r="F247" t="str">
        <f>"7582556"</f>
        <v>7582556</v>
      </c>
      <c r="G247" t="s">
        <v>272</v>
      </c>
      <c r="I247" t="s">
        <v>103</v>
      </c>
      <c r="J247">
        <v>0.839602791</v>
      </c>
      <c r="K247">
        <v>120700</v>
      </c>
      <c r="L247">
        <v>4695654.78</v>
      </c>
      <c r="M247">
        <v>3517248.08</v>
      </c>
      <c r="N247">
        <v>20.85</v>
      </c>
      <c r="O247">
        <v>2516595</v>
      </c>
      <c r="P247">
        <v>2112940.19</v>
      </c>
      <c r="Q247">
        <v>0</v>
      </c>
      <c r="R247">
        <v>0</v>
      </c>
      <c r="S247">
        <v>0.049</v>
      </c>
      <c r="T247" t="s">
        <v>25</v>
      </c>
    </row>
    <row r="248" spans="1:20" ht="15">
      <c r="A248" t="s">
        <v>19</v>
      </c>
      <c r="B248" t="s">
        <v>20</v>
      </c>
      <c r="C248" t="str">
        <f t="shared" si="3"/>
        <v>31-Dec-21</v>
      </c>
      <c r="D248" t="s">
        <v>21</v>
      </c>
      <c r="E248" t="s">
        <v>22</v>
      </c>
      <c r="F248" t="str">
        <f>"BD2P9X9"</f>
        <v>BD2P9X9</v>
      </c>
      <c r="G248" t="s">
        <v>273</v>
      </c>
      <c r="I248" t="s">
        <v>103</v>
      </c>
      <c r="J248">
        <v>0.839602791</v>
      </c>
      <c r="K248">
        <v>42520</v>
      </c>
      <c r="L248">
        <v>3606394.39</v>
      </c>
      <c r="M248">
        <v>3179300.37</v>
      </c>
      <c r="N248">
        <v>86.9</v>
      </c>
      <c r="O248">
        <v>3694988</v>
      </c>
      <c r="P248">
        <v>3102322.24</v>
      </c>
      <c r="Q248">
        <v>0</v>
      </c>
      <c r="R248">
        <v>0</v>
      </c>
      <c r="S248">
        <v>0.072</v>
      </c>
      <c r="T248" t="s">
        <v>25</v>
      </c>
    </row>
    <row r="249" spans="1:20" ht="15">
      <c r="A249" t="s">
        <v>19</v>
      </c>
      <c r="B249" t="s">
        <v>20</v>
      </c>
      <c r="C249" t="str">
        <f t="shared" si="3"/>
        <v>31-Dec-21</v>
      </c>
      <c r="D249" t="s">
        <v>21</v>
      </c>
      <c r="E249" t="s">
        <v>22</v>
      </c>
      <c r="F249" t="str">
        <f>"BFYR8L8"</f>
        <v>BFYR8L8</v>
      </c>
      <c r="G249" t="s">
        <v>274</v>
      </c>
      <c r="I249" t="s">
        <v>103</v>
      </c>
      <c r="J249">
        <v>0.839602791</v>
      </c>
      <c r="K249">
        <v>124148</v>
      </c>
      <c r="L249">
        <v>2630332</v>
      </c>
      <c r="M249">
        <v>2374956.67</v>
      </c>
      <c r="N249">
        <v>21.24</v>
      </c>
      <c r="O249">
        <v>2636903.52</v>
      </c>
      <c r="P249">
        <v>2213951.55</v>
      </c>
      <c r="Q249">
        <v>0</v>
      </c>
      <c r="R249">
        <v>0</v>
      </c>
      <c r="S249">
        <v>0.051</v>
      </c>
      <c r="T249" t="s">
        <v>25</v>
      </c>
    </row>
    <row r="250" spans="1:20" ht="15">
      <c r="A250" t="s">
        <v>19</v>
      </c>
      <c r="B250" t="s">
        <v>20</v>
      </c>
      <c r="C250" t="str">
        <f t="shared" si="3"/>
        <v>31-Dec-21</v>
      </c>
      <c r="D250" t="s">
        <v>21</v>
      </c>
      <c r="E250" t="s">
        <v>22</v>
      </c>
      <c r="F250" t="str">
        <f>"B09M9D2"</f>
        <v>B09M9D2</v>
      </c>
      <c r="G250" t="s">
        <v>275</v>
      </c>
      <c r="I250" t="s">
        <v>103</v>
      </c>
      <c r="J250">
        <v>0.839602791</v>
      </c>
      <c r="K250">
        <v>250133</v>
      </c>
      <c r="L250">
        <v>10822932.99</v>
      </c>
      <c r="M250">
        <v>8498814.02</v>
      </c>
      <c r="N250">
        <v>63.04</v>
      </c>
      <c r="O250">
        <v>15768384.32</v>
      </c>
      <c r="P250">
        <v>13239179.48</v>
      </c>
      <c r="Q250">
        <v>0</v>
      </c>
      <c r="R250">
        <v>0</v>
      </c>
      <c r="S250">
        <v>0.306</v>
      </c>
      <c r="T250" t="s">
        <v>25</v>
      </c>
    </row>
    <row r="251" spans="1:20" ht="15">
      <c r="A251" t="s">
        <v>19</v>
      </c>
      <c r="B251" t="s">
        <v>20</v>
      </c>
      <c r="C251" t="str">
        <f t="shared" si="3"/>
        <v>31-Dec-21</v>
      </c>
      <c r="D251" t="s">
        <v>21</v>
      </c>
      <c r="E251" t="s">
        <v>22</v>
      </c>
      <c r="F251" t="str">
        <f>"BD0Q398"</f>
        <v>BD0Q398</v>
      </c>
      <c r="G251" t="s">
        <v>276</v>
      </c>
      <c r="I251" t="s">
        <v>103</v>
      </c>
      <c r="J251">
        <v>0.839602791</v>
      </c>
      <c r="K251">
        <v>645154</v>
      </c>
      <c r="L251">
        <v>12107734.91</v>
      </c>
      <c r="M251">
        <v>9500650.41</v>
      </c>
      <c r="N251">
        <v>30.135</v>
      </c>
      <c r="O251">
        <v>19441715.79</v>
      </c>
      <c r="P251">
        <v>16323318.84</v>
      </c>
      <c r="Q251">
        <v>0</v>
      </c>
      <c r="R251">
        <v>0</v>
      </c>
      <c r="S251">
        <v>0.377</v>
      </c>
      <c r="T251" t="s">
        <v>25</v>
      </c>
    </row>
    <row r="252" spans="1:20" ht="15">
      <c r="A252" t="s">
        <v>19</v>
      </c>
      <c r="B252" t="s">
        <v>20</v>
      </c>
      <c r="C252" t="str">
        <f t="shared" si="3"/>
        <v>31-Dec-21</v>
      </c>
      <c r="D252" t="s">
        <v>21</v>
      </c>
      <c r="E252" t="s">
        <v>22</v>
      </c>
      <c r="F252" t="str">
        <f>"B0HZL93"</f>
        <v>B0HZL93</v>
      </c>
      <c r="G252" t="s">
        <v>277</v>
      </c>
      <c r="I252" t="s">
        <v>103</v>
      </c>
      <c r="J252">
        <v>0.839602791</v>
      </c>
      <c r="K252">
        <v>109452</v>
      </c>
      <c r="L252">
        <v>7414208.75</v>
      </c>
      <c r="M252">
        <v>6005454.39</v>
      </c>
      <c r="N252">
        <v>198</v>
      </c>
      <c r="O252">
        <v>21671496</v>
      </c>
      <c r="P252">
        <v>18195448.52</v>
      </c>
      <c r="Q252">
        <v>0</v>
      </c>
      <c r="R252">
        <v>0</v>
      </c>
      <c r="S252">
        <v>0.421</v>
      </c>
      <c r="T252" t="s">
        <v>25</v>
      </c>
    </row>
    <row r="253" spans="1:20" ht="15">
      <c r="A253" t="s">
        <v>19</v>
      </c>
      <c r="B253" t="s">
        <v>20</v>
      </c>
      <c r="C253" t="str">
        <f t="shared" si="3"/>
        <v>31-Dec-21</v>
      </c>
      <c r="D253" t="s">
        <v>21</v>
      </c>
      <c r="E253" t="s">
        <v>22</v>
      </c>
      <c r="F253" t="str">
        <f>"5956078"</f>
        <v>5956078</v>
      </c>
      <c r="G253" t="s">
        <v>278</v>
      </c>
      <c r="I253" t="s">
        <v>103</v>
      </c>
      <c r="J253">
        <v>0.839602791</v>
      </c>
      <c r="K253">
        <v>2234459</v>
      </c>
      <c r="L253">
        <v>6545207.81</v>
      </c>
      <c r="M253">
        <v>5053643.79</v>
      </c>
      <c r="N253">
        <v>2.73</v>
      </c>
      <c r="O253">
        <v>6100073.07</v>
      </c>
      <c r="P253">
        <v>5121638.37</v>
      </c>
      <c r="Q253">
        <v>0</v>
      </c>
      <c r="R253">
        <v>0</v>
      </c>
      <c r="S253">
        <v>0.118</v>
      </c>
      <c r="T253" t="s">
        <v>25</v>
      </c>
    </row>
    <row r="254" spans="1:20" ht="15">
      <c r="A254" t="s">
        <v>19</v>
      </c>
      <c r="B254" t="s">
        <v>20</v>
      </c>
      <c r="C254" t="str">
        <f t="shared" si="3"/>
        <v>31-Dec-21</v>
      </c>
      <c r="D254" t="s">
        <v>21</v>
      </c>
      <c r="E254" t="s">
        <v>22</v>
      </c>
      <c r="F254" t="str">
        <f>"5986622"</f>
        <v>5986622</v>
      </c>
      <c r="G254" t="s">
        <v>279</v>
      </c>
      <c r="I254" t="s">
        <v>103</v>
      </c>
      <c r="J254">
        <v>0.839602791</v>
      </c>
      <c r="K254">
        <v>597764</v>
      </c>
      <c r="L254">
        <v>17127140.28</v>
      </c>
      <c r="M254">
        <v>13404791.49</v>
      </c>
      <c r="N254">
        <v>32.765</v>
      </c>
      <c r="O254">
        <v>19585737.46</v>
      </c>
      <c r="P254">
        <v>16444239.83</v>
      </c>
      <c r="Q254">
        <v>0</v>
      </c>
      <c r="R254">
        <v>0</v>
      </c>
      <c r="S254">
        <v>0.38</v>
      </c>
      <c r="T254" t="s">
        <v>25</v>
      </c>
    </row>
    <row r="255" spans="1:20" ht="15">
      <c r="A255" t="s">
        <v>19</v>
      </c>
      <c r="B255" t="s">
        <v>20</v>
      </c>
      <c r="C255" t="str">
        <f t="shared" si="3"/>
        <v>31-Dec-21</v>
      </c>
      <c r="D255" t="s">
        <v>21</v>
      </c>
      <c r="E255" t="s">
        <v>22</v>
      </c>
      <c r="F255" t="str">
        <f>"5809428"</f>
        <v>5809428</v>
      </c>
      <c r="G255" t="s">
        <v>280</v>
      </c>
      <c r="I255" t="s">
        <v>103</v>
      </c>
      <c r="J255">
        <v>0.839602791</v>
      </c>
      <c r="K255">
        <v>40944</v>
      </c>
      <c r="L255">
        <v>1950564</v>
      </c>
      <c r="M255">
        <v>1501434.44</v>
      </c>
      <c r="N255">
        <v>30.8</v>
      </c>
      <c r="O255">
        <v>1261075.2</v>
      </c>
      <c r="P255">
        <v>1058802.26</v>
      </c>
      <c r="Q255">
        <v>0</v>
      </c>
      <c r="R255">
        <v>0</v>
      </c>
      <c r="S255">
        <v>0.024</v>
      </c>
      <c r="T255" t="s">
        <v>25</v>
      </c>
    </row>
    <row r="256" spans="1:20" ht="15">
      <c r="A256" t="s">
        <v>19</v>
      </c>
      <c r="B256" t="s">
        <v>20</v>
      </c>
      <c r="C256" t="str">
        <f t="shared" si="3"/>
        <v>31-Dec-21</v>
      </c>
      <c r="D256" t="s">
        <v>21</v>
      </c>
      <c r="E256" t="s">
        <v>22</v>
      </c>
      <c r="F256" t="str">
        <f>"4057808"</f>
        <v>4057808</v>
      </c>
      <c r="G256" t="s">
        <v>281</v>
      </c>
      <c r="I256" t="s">
        <v>103</v>
      </c>
      <c r="J256">
        <v>0.839602791</v>
      </c>
      <c r="K256">
        <v>157363</v>
      </c>
      <c r="L256">
        <v>29791436.55</v>
      </c>
      <c r="M256">
        <v>23428972.08</v>
      </c>
      <c r="N256">
        <v>416.95</v>
      </c>
      <c r="O256">
        <v>65612502.85</v>
      </c>
      <c r="P256">
        <v>55088440.5</v>
      </c>
      <c r="Q256">
        <v>0</v>
      </c>
      <c r="R256">
        <v>0</v>
      </c>
      <c r="S256">
        <v>1.273</v>
      </c>
      <c r="T256" t="s">
        <v>25</v>
      </c>
    </row>
    <row r="257" spans="1:20" ht="15">
      <c r="A257" t="s">
        <v>19</v>
      </c>
      <c r="B257" t="s">
        <v>20</v>
      </c>
      <c r="C257" t="str">
        <f t="shared" si="3"/>
        <v>31-Dec-21</v>
      </c>
      <c r="D257" t="s">
        <v>21</v>
      </c>
      <c r="E257" t="s">
        <v>22</v>
      </c>
      <c r="F257" t="str">
        <f>"B05M8B7"</f>
        <v>B05M8B7</v>
      </c>
      <c r="G257" t="s">
        <v>282</v>
      </c>
      <c r="I257" t="s">
        <v>103</v>
      </c>
      <c r="J257">
        <v>0.839602791</v>
      </c>
      <c r="K257">
        <v>60058</v>
      </c>
      <c r="L257">
        <v>3149783.62</v>
      </c>
      <c r="M257">
        <v>2516382.72</v>
      </c>
      <c r="N257">
        <v>54.5</v>
      </c>
      <c r="O257">
        <v>3273161</v>
      </c>
      <c r="P257">
        <v>2748155.11</v>
      </c>
      <c r="Q257">
        <v>0</v>
      </c>
      <c r="R257">
        <v>0</v>
      </c>
      <c r="S257">
        <v>0.064</v>
      </c>
      <c r="T257" t="s">
        <v>25</v>
      </c>
    </row>
    <row r="258" spans="1:20" ht="15">
      <c r="A258" t="s">
        <v>19</v>
      </c>
      <c r="B258" t="s">
        <v>20</v>
      </c>
      <c r="C258" t="str">
        <f aca="true" t="shared" si="4" ref="C258:C321">"31-Dec-21"</f>
        <v>31-Dec-21</v>
      </c>
      <c r="D258" t="s">
        <v>21</v>
      </c>
      <c r="E258" t="s">
        <v>22</v>
      </c>
      <c r="F258" t="str">
        <f>"B9G6L89"</f>
        <v>B9G6L89</v>
      </c>
      <c r="G258" t="s">
        <v>283</v>
      </c>
      <c r="I258" t="s">
        <v>103</v>
      </c>
      <c r="J258">
        <v>0.839602791</v>
      </c>
      <c r="K258">
        <v>47336</v>
      </c>
      <c r="L258">
        <v>4161376.93</v>
      </c>
      <c r="M258">
        <v>3499820.63</v>
      </c>
      <c r="N258">
        <v>122.7</v>
      </c>
      <c r="O258">
        <v>5808127.2</v>
      </c>
      <c r="P258">
        <v>4876519.81</v>
      </c>
      <c r="Q258">
        <v>0</v>
      </c>
      <c r="R258">
        <v>0</v>
      </c>
      <c r="S258">
        <v>0.113</v>
      </c>
      <c r="T258" t="s">
        <v>25</v>
      </c>
    </row>
    <row r="259" spans="1:20" ht="15">
      <c r="A259" t="s">
        <v>19</v>
      </c>
      <c r="B259" t="s">
        <v>20</v>
      </c>
      <c r="C259" t="str">
        <f t="shared" si="4"/>
        <v>31-Dec-21</v>
      </c>
      <c r="D259" t="s">
        <v>21</v>
      </c>
      <c r="E259" t="s">
        <v>22</v>
      </c>
      <c r="F259" t="str">
        <f>"4061412"</f>
        <v>4061412</v>
      </c>
      <c r="G259" t="s">
        <v>284</v>
      </c>
      <c r="I259" t="s">
        <v>103</v>
      </c>
      <c r="J259">
        <v>0.839602791</v>
      </c>
      <c r="K259">
        <v>162623</v>
      </c>
      <c r="L259">
        <v>34823649.33</v>
      </c>
      <c r="M259">
        <v>27937953.32</v>
      </c>
      <c r="N259">
        <v>727</v>
      </c>
      <c r="O259">
        <v>118226921</v>
      </c>
      <c r="P259">
        <v>99263652.82</v>
      </c>
      <c r="Q259">
        <v>0</v>
      </c>
      <c r="R259">
        <v>0</v>
      </c>
      <c r="S259">
        <v>2.294</v>
      </c>
      <c r="T259" t="s">
        <v>25</v>
      </c>
    </row>
    <row r="260" spans="1:20" ht="15">
      <c r="A260" t="s">
        <v>19</v>
      </c>
      <c r="B260" t="s">
        <v>20</v>
      </c>
      <c r="C260" t="str">
        <f t="shared" si="4"/>
        <v>31-Dec-21</v>
      </c>
      <c r="D260" t="s">
        <v>21</v>
      </c>
      <c r="E260" t="s">
        <v>22</v>
      </c>
      <c r="F260" t="str">
        <f>"BG0SC10"</f>
        <v>BG0SC10</v>
      </c>
      <c r="G260" t="s">
        <v>285</v>
      </c>
      <c r="I260" t="s">
        <v>103</v>
      </c>
      <c r="J260">
        <v>0.839602791</v>
      </c>
      <c r="K260">
        <v>59169</v>
      </c>
      <c r="L260">
        <v>1877089.2</v>
      </c>
      <c r="M260">
        <v>1687421.48</v>
      </c>
      <c r="N260">
        <v>38.94</v>
      </c>
      <c r="O260">
        <v>2304040.86</v>
      </c>
      <c r="P260">
        <v>1934479.14</v>
      </c>
      <c r="Q260">
        <v>0</v>
      </c>
      <c r="R260">
        <v>0</v>
      </c>
      <c r="S260">
        <v>0.045</v>
      </c>
      <c r="T260" t="s">
        <v>25</v>
      </c>
    </row>
    <row r="261" spans="1:20" ht="15">
      <c r="A261" t="s">
        <v>19</v>
      </c>
      <c r="B261" t="s">
        <v>20</v>
      </c>
      <c r="C261" t="str">
        <f t="shared" si="4"/>
        <v>31-Dec-21</v>
      </c>
      <c r="D261" t="s">
        <v>21</v>
      </c>
      <c r="E261" t="s">
        <v>22</v>
      </c>
      <c r="F261" t="str">
        <f>"B11ZRK9"</f>
        <v>B11ZRK9</v>
      </c>
      <c r="G261" t="s">
        <v>286</v>
      </c>
      <c r="I261" t="s">
        <v>103</v>
      </c>
      <c r="J261">
        <v>0.839602791</v>
      </c>
      <c r="K261">
        <v>178744</v>
      </c>
      <c r="L261">
        <v>9764614.65</v>
      </c>
      <c r="M261">
        <v>7649689.7</v>
      </c>
      <c r="N261">
        <v>102.9</v>
      </c>
      <c r="O261">
        <v>18392757.6</v>
      </c>
      <c r="P261">
        <v>15442610.61</v>
      </c>
      <c r="Q261">
        <v>0</v>
      </c>
      <c r="R261">
        <v>0</v>
      </c>
      <c r="S261">
        <v>0.357</v>
      </c>
      <c r="T261" t="s">
        <v>25</v>
      </c>
    </row>
    <row r="262" spans="1:20" ht="15">
      <c r="A262" t="s">
        <v>19</v>
      </c>
      <c r="B262" t="s">
        <v>20</v>
      </c>
      <c r="C262" t="str">
        <f t="shared" si="4"/>
        <v>31-Dec-21</v>
      </c>
      <c r="D262" t="s">
        <v>21</v>
      </c>
      <c r="E262" t="s">
        <v>22</v>
      </c>
      <c r="F262" t="str">
        <f>"B0DJNG0"</f>
        <v>B0DJNG0</v>
      </c>
      <c r="G262" t="s">
        <v>287</v>
      </c>
      <c r="I262" t="s">
        <v>103</v>
      </c>
      <c r="J262">
        <v>0.839602791</v>
      </c>
      <c r="K262">
        <v>256208</v>
      </c>
      <c r="L262">
        <v>2802811.18</v>
      </c>
      <c r="M262">
        <v>2136588.59</v>
      </c>
      <c r="N262">
        <v>6.3</v>
      </c>
      <c r="O262">
        <v>1614110.4</v>
      </c>
      <c r="P262">
        <v>1355211.6</v>
      </c>
      <c r="Q262">
        <v>0</v>
      </c>
      <c r="R262">
        <v>0</v>
      </c>
      <c r="S262">
        <v>0.031</v>
      </c>
      <c r="T262" t="s">
        <v>25</v>
      </c>
    </row>
    <row r="263" spans="1:20" ht="15">
      <c r="A263" t="s">
        <v>19</v>
      </c>
      <c r="B263" t="s">
        <v>20</v>
      </c>
      <c r="C263" t="str">
        <f t="shared" si="4"/>
        <v>31-Dec-21</v>
      </c>
      <c r="D263" t="s">
        <v>21</v>
      </c>
      <c r="E263" t="s">
        <v>22</v>
      </c>
      <c r="F263" t="str">
        <f>"BD6QT83"</f>
        <v>BD6QT83</v>
      </c>
      <c r="G263" t="s">
        <v>288</v>
      </c>
      <c r="I263" t="s">
        <v>103</v>
      </c>
      <c r="J263">
        <v>0.839602791</v>
      </c>
      <c r="K263">
        <v>86493</v>
      </c>
      <c r="L263">
        <v>1762238.85</v>
      </c>
      <c r="M263">
        <v>1322536.94</v>
      </c>
      <c r="N263">
        <v>9.22</v>
      </c>
      <c r="O263">
        <v>797465.46</v>
      </c>
      <c r="P263">
        <v>669554.23</v>
      </c>
      <c r="Q263">
        <v>0</v>
      </c>
      <c r="R263">
        <v>0</v>
      </c>
      <c r="S263">
        <v>0.015</v>
      </c>
      <c r="T263" t="s">
        <v>25</v>
      </c>
    </row>
    <row r="264" spans="1:20" ht="15">
      <c r="A264" t="s">
        <v>19</v>
      </c>
      <c r="B264" t="s">
        <v>20</v>
      </c>
      <c r="C264" t="str">
        <f t="shared" si="4"/>
        <v>31-Dec-21</v>
      </c>
      <c r="D264" t="s">
        <v>21</v>
      </c>
      <c r="E264" t="s">
        <v>22</v>
      </c>
      <c r="F264" t="str">
        <f>"B09DHL9"</f>
        <v>B09DHL9</v>
      </c>
      <c r="G264" t="s">
        <v>289</v>
      </c>
      <c r="I264" t="s">
        <v>103</v>
      </c>
      <c r="J264">
        <v>0.839602791</v>
      </c>
      <c r="K264">
        <v>34568</v>
      </c>
      <c r="L264">
        <v>4035160.05</v>
      </c>
      <c r="M264">
        <v>3267099.05</v>
      </c>
      <c r="N264">
        <v>179.4</v>
      </c>
      <c r="O264">
        <v>6201499.2</v>
      </c>
      <c r="P264">
        <v>5206796.04</v>
      </c>
      <c r="Q264">
        <v>0</v>
      </c>
      <c r="R264">
        <v>0</v>
      </c>
      <c r="S264">
        <v>0.12</v>
      </c>
      <c r="T264" t="s">
        <v>25</v>
      </c>
    </row>
    <row r="265" spans="1:20" ht="15">
      <c r="A265" t="s">
        <v>19</v>
      </c>
      <c r="B265" t="s">
        <v>20</v>
      </c>
      <c r="C265" t="str">
        <f t="shared" si="4"/>
        <v>31-Dec-21</v>
      </c>
      <c r="D265" t="s">
        <v>21</v>
      </c>
      <c r="E265" t="s">
        <v>22</v>
      </c>
      <c r="F265" t="str">
        <f>"B1G40S0"</f>
        <v>B1G40S0</v>
      </c>
      <c r="G265" t="s">
        <v>290</v>
      </c>
      <c r="I265" t="s">
        <v>103</v>
      </c>
      <c r="J265">
        <v>0.839602791</v>
      </c>
      <c r="K265">
        <v>575286</v>
      </c>
      <c r="L265">
        <v>1645853.41</v>
      </c>
      <c r="M265">
        <v>1247027.91</v>
      </c>
      <c r="N265">
        <v>1.8055</v>
      </c>
      <c r="O265">
        <v>1038678.87</v>
      </c>
      <c r="P265">
        <v>872077.68</v>
      </c>
      <c r="Q265">
        <v>0</v>
      </c>
      <c r="R265">
        <v>0</v>
      </c>
      <c r="S265">
        <v>0.02</v>
      </c>
      <c r="T265" t="s">
        <v>25</v>
      </c>
    </row>
    <row r="266" spans="1:20" ht="15">
      <c r="A266" t="s">
        <v>19</v>
      </c>
      <c r="B266" t="s">
        <v>20</v>
      </c>
      <c r="C266" t="str">
        <f t="shared" si="4"/>
        <v>31-Dec-21</v>
      </c>
      <c r="D266" t="s">
        <v>21</v>
      </c>
      <c r="E266" t="s">
        <v>22</v>
      </c>
      <c r="F266" t="str">
        <f>"4574813"</f>
        <v>4574813</v>
      </c>
      <c r="G266" t="s">
        <v>291</v>
      </c>
      <c r="I266" t="s">
        <v>103</v>
      </c>
      <c r="J266">
        <v>0.839602791</v>
      </c>
      <c r="K266">
        <v>466737</v>
      </c>
      <c r="L266">
        <v>4023325.65</v>
      </c>
      <c r="M266">
        <v>3211888.09</v>
      </c>
      <c r="N266">
        <v>10.11</v>
      </c>
      <c r="O266">
        <v>4718711.07</v>
      </c>
      <c r="P266">
        <v>3961842.98</v>
      </c>
      <c r="Q266">
        <v>0</v>
      </c>
      <c r="R266">
        <v>0</v>
      </c>
      <c r="S266">
        <v>0.092</v>
      </c>
      <c r="T266" t="s">
        <v>25</v>
      </c>
    </row>
    <row r="267" spans="1:20" ht="15">
      <c r="A267" t="s">
        <v>19</v>
      </c>
      <c r="B267" t="s">
        <v>20</v>
      </c>
      <c r="C267" t="str">
        <f t="shared" si="4"/>
        <v>31-Dec-21</v>
      </c>
      <c r="D267" t="s">
        <v>21</v>
      </c>
      <c r="E267" t="s">
        <v>22</v>
      </c>
      <c r="F267" t="str">
        <f>"4741844"</f>
        <v>4741844</v>
      </c>
      <c r="G267" t="s">
        <v>292</v>
      </c>
      <c r="I267" t="s">
        <v>103</v>
      </c>
      <c r="J267">
        <v>0.839602791</v>
      </c>
      <c r="K267">
        <v>85194</v>
      </c>
      <c r="L267">
        <v>8427747.12</v>
      </c>
      <c r="M267">
        <v>6468579.33</v>
      </c>
      <c r="N267">
        <v>227</v>
      </c>
      <c r="O267">
        <v>19339038</v>
      </c>
      <c r="P267">
        <v>16237110.28</v>
      </c>
      <c r="Q267">
        <v>0</v>
      </c>
      <c r="R267">
        <v>0</v>
      </c>
      <c r="S267">
        <v>0.375</v>
      </c>
      <c r="T267" t="s">
        <v>25</v>
      </c>
    </row>
    <row r="268" spans="1:20" ht="15">
      <c r="A268" t="s">
        <v>19</v>
      </c>
      <c r="B268" t="s">
        <v>20</v>
      </c>
      <c r="C268" t="str">
        <f t="shared" si="4"/>
        <v>31-Dec-21</v>
      </c>
      <c r="D268" t="s">
        <v>21</v>
      </c>
      <c r="E268" t="s">
        <v>22</v>
      </c>
      <c r="F268" t="str">
        <f>"BNGNB77"</f>
        <v>BNGNB77</v>
      </c>
      <c r="G268" t="s">
        <v>293</v>
      </c>
      <c r="I268" t="s">
        <v>103</v>
      </c>
      <c r="J268">
        <v>0.839602791</v>
      </c>
      <c r="K268">
        <v>175326</v>
      </c>
      <c r="L268">
        <v>1740189.63</v>
      </c>
      <c r="M268">
        <v>1502419.19</v>
      </c>
      <c r="N268">
        <v>9.57</v>
      </c>
      <c r="O268">
        <v>1677869.82</v>
      </c>
      <c r="P268">
        <v>1408744.18</v>
      </c>
      <c r="Q268">
        <v>0</v>
      </c>
      <c r="R268">
        <v>0</v>
      </c>
      <c r="S268">
        <v>0.033</v>
      </c>
      <c r="T268" t="s">
        <v>25</v>
      </c>
    </row>
    <row r="269" spans="1:20" ht="15">
      <c r="A269" t="s">
        <v>19</v>
      </c>
      <c r="B269" t="s">
        <v>20</v>
      </c>
      <c r="C269" t="str">
        <f t="shared" si="4"/>
        <v>31-Dec-21</v>
      </c>
      <c r="D269" t="s">
        <v>21</v>
      </c>
      <c r="E269" t="s">
        <v>22</v>
      </c>
      <c r="F269" t="str">
        <f>"B1FN8X9"</f>
        <v>B1FN8X9</v>
      </c>
      <c r="G269" t="s">
        <v>294</v>
      </c>
      <c r="I269" t="s">
        <v>103</v>
      </c>
      <c r="J269">
        <v>0.839602791</v>
      </c>
      <c r="K269">
        <v>392003</v>
      </c>
      <c r="L269">
        <v>3671856.52</v>
      </c>
      <c r="M269">
        <v>3153232.72</v>
      </c>
      <c r="N269">
        <v>9.348</v>
      </c>
      <c r="O269">
        <v>3664444.04</v>
      </c>
      <c r="P269">
        <v>3076677.44</v>
      </c>
      <c r="Q269">
        <v>0</v>
      </c>
      <c r="R269">
        <v>0</v>
      </c>
      <c r="S269">
        <v>0.071</v>
      </c>
      <c r="T269" t="s">
        <v>25</v>
      </c>
    </row>
    <row r="270" spans="1:20" ht="15">
      <c r="A270" t="s">
        <v>19</v>
      </c>
      <c r="B270" t="s">
        <v>20</v>
      </c>
      <c r="C270" t="str">
        <f t="shared" si="4"/>
        <v>31-Dec-21</v>
      </c>
      <c r="D270" t="s">
        <v>21</v>
      </c>
      <c r="E270" t="s">
        <v>22</v>
      </c>
      <c r="F270" t="str">
        <f>"BGLP232"</f>
        <v>BGLP232</v>
      </c>
      <c r="G270" t="s">
        <v>295</v>
      </c>
      <c r="I270" t="s">
        <v>103</v>
      </c>
      <c r="J270">
        <v>0.839602791</v>
      </c>
      <c r="K270">
        <v>144317</v>
      </c>
      <c r="L270">
        <v>4355595.47</v>
      </c>
      <c r="M270">
        <v>3787290.23</v>
      </c>
      <c r="N270">
        <v>64.02</v>
      </c>
      <c r="O270">
        <v>9239174.34</v>
      </c>
      <c r="P270">
        <v>7757236.56</v>
      </c>
      <c r="Q270">
        <v>0</v>
      </c>
      <c r="R270">
        <v>0</v>
      </c>
      <c r="S270">
        <v>0.179</v>
      </c>
      <c r="T270" t="s">
        <v>25</v>
      </c>
    </row>
    <row r="271" spans="1:20" ht="15">
      <c r="A271" t="s">
        <v>19</v>
      </c>
      <c r="B271" t="s">
        <v>20</v>
      </c>
      <c r="C271" t="str">
        <f t="shared" si="4"/>
        <v>31-Dec-21</v>
      </c>
      <c r="D271" t="s">
        <v>21</v>
      </c>
      <c r="E271" t="s">
        <v>22</v>
      </c>
      <c r="F271" t="str">
        <f>"5294121"</f>
        <v>5294121</v>
      </c>
      <c r="G271" t="s">
        <v>296</v>
      </c>
      <c r="I271" t="s">
        <v>103</v>
      </c>
      <c r="J271">
        <v>0.839602791</v>
      </c>
      <c r="K271">
        <v>93022</v>
      </c>
      <c r="L271">
        <v>17258392.6</v>
      </c>
      <c r="M271">
        <v>13578772.2</v>
      </c>
      <c r="N271">
        <v>260.5</v>
      </c>
      <c r="O271">
        <v>24232231</v>
      </c>
      <c r="P271">
        <v>20345448.77</v>
      </c>
      <c r="Q271">
        <v>0</v>
      </c>
      <c r="R271">
        <v>0</v>
      </c>
      <c r="S271">
        <v>0.47</v>
      </c>
      <c r="T271" t="s">
        <v>25</v>
      </c>
    </row>
    <row r="272" spans="1:20" ht="15">
      <c r="A272" t="s">
        <v>19</v>
      </c>
      <c r="B272" t="s">
        <v>20</v>
      </c>
      <c r="C272" t="str">
        <f t="shared" si="4"/>
        <v>31-Dec-21</v>
      </c>
      <c r="D272" t="s">
        <v>21</v>
      </c>
      <c r="E272" t="s">
        <v>22</v>
      </c>
      <c r="F272" t="str">
        <f>"BNG8PQ9"</f>
        <v>BNG8PQ9</v>
      </c>
      <c r="G272" t="s">
        <v>297</v>
      </c>
      <c r="I272" t="s">
        <v>103</v>
      </c>
      <c r="J272">
        <v>0.839602791</v>
      </c>
      <c r="K272">
        <v>210214</v>
      </c>
      <c r="L272">
        <v>6612612.15</v>
      </c>
      <c r="M272">
        <v>5414011.36</v>
      </c>
      <c r="N272">
        <v>47.61</v>
      </c>
      <c r="O272">
        <v>10008288.54</v>
      </c>
      <c r="P272">
        <v>8402986.99</v>
      </c>
      <c r="Q272">
        <v>0</v>
      </c>
      <c r="R272">
        <v>0</v>
      </c>
      <c r="S272">
        <v>0.194</v>
      </c>
      <c r="T272" t="s">
        <v>25</v>
      </c>
    </row>
    <row r="273" spans="1:20" ht="15">
      <c r="A273" t="s">
        <v>19</v>
      </c>
      <c r="B273" t="s">
        <v>20</v>
      </c>
      <c r="C273" t="str">
        <f t="shared" si="4"/>
        <v>31-Dec-21</v>
      </c>
      <c r="D273" t="s">
        <v>21</v>
      </c>
      <c r="E273" t="s">
        <v>22</v>
      </c>
      <c r="F273" t="str">
        <f>"5650422"</f>
        <v>5650422</v>
      </c>
      <c r="G273" t="s">
        <v>298</v>
      </c>
      <c r="I273" t="s">
        <v>103</v>
      </c>
      <c r="J273">
        <v>0.839602791</v>
      </c>
      <c r="K273">
        <v>199745</v>
      </c>
      <c r="L273">
        <v>4267090.59</v>
      </c>
      <c r="M273">
        <v>3334879.61</v>
      </c>
      <c r="N273">
        <v>28.63</v>
      </c>
      <c r="O273">
        <v>5718699.35</v>
      </c>
      <c r="P273">
        <v>4801435.93</v>
      </c>
      <c r="Q273">
        <v>0</v>
      </c>
      <c r="R273">
        <v>0</v>
      </c>
      <c r="S273">
        <v>0.111</v>
      </c>
      <c r="T273" t="s">
        <v>25</v>
      </c>
    </row>
    <row r="274" spans="1:20" ht="15">
      <c r="A274" t="s">
        <v>19</v>
      </c>
      <c r="B274" t="s">
        <v>20</v>
      </c>
      <c r="C274" t="str">
        <f t="shared" si="4"/>
        <v>31-Dec-21</v>
      </c>
      <c r="D274" t="s">
        <v>21</v>
      </c>
      <c r="E274" t="s">
        <v>22</v>
      </c>
      <c r="F274" t="str">
        <f>"5633962"</f>
        <v>5633962</v>
      </c>
      <c r="G274" t="s">
        <v>299</v>
      </c>
      <c r="I274" t="s">
        <v>103</v>
      </c>
      <c r="J274">
        <v>0.839602791</v>
      </c>
      <c r="K274">
        <v>35910</v>
      </c>
      <c r="L274">
        <v>1796060.99</v>
      </c>
      <c r="M274">
        <v>1575793.81</v>
      </c>
      <c r="N274">
        <v>112.8</v>
      </c>
      <c r="O274">
        <v>4050648</v>
      </c>
      <c r="P274">
        <v>3400935.37</v>
      </c>
      <c r="Q274">
        <v>0</v>
      </c>
      <c r="R274">
        <v>0</v>
      </c>
      <c r="S274">
        <v>0.079</v>
      </c>
      <c r="T274" t="s">
        <v>25</v>
      </c>
    </row>
    <row r="275" spans="1:20" ht="15">
      <c r="A275" t="s">
        <v>19</v>
      </c>
      <c r="B275" t="s">
        <v>20</v>
      </c>
      <c r="C275" t="str">
        <f t="shared" si="4"/>
        <v>31-Dec-21</v>
      </c>
      <c r="D275" t="s">
        <v>21</v>
      </c>
      <c r="E275" t="s">
        <v>22</v>
      </c>
      <c r="F275" t="str">
        <f>"BGV7F95"</f>
        <v>BGV7F95</v>
      </c>
      <c r="G275" t="s">
        <v>300</v>
      </c>
      <c r="I275" t="s">
        <v>103</v>
      </c>
      <c r="J275">
        <v>0.839602791</v>
      </c>
      <c r="K275">
        <v>17082</v>
      </c>
      <c r="L275">
        <v>648277.72</v>
      </c>
      <c r="M275">
        <v>556584.62</v>
      </c>
      <c r="N275">
        <v>38.16</v>
      </c>
      <c r="O275">
        <v>651849.12</v>
      </c>
      <c r="P275">
        <v>547294.34</v>
      </c>
      <c r="Q275">
        <v>0</v>
      </c>
      <c r="R275">
        <v>0</v>
      </c>
      <c r="S275">
        <v>0.013</v>
      </c>
      <c r="T275" t="s">
        <v>25</v>
      </c>
    </row>
    <row r="276" spans="1:20" ht="15">
      <c r="A276" t="s">
        <v>19</v>
      </c>
      <c r="B276" t="s">
        <v>20</v>
      </c>
      <c r="C276" t="str">
        <f t="shared" si="4"/>
        <v>31-Dec-21</v>
      </c>
      <c r="D276" t="s">
        <v>21</v>
      </c>
      <c r="E276" t="s">
        <v>22</v>
      </c>
      <c r="F276" t="str">
        <f>"B06YV46"</f>
        <v>B06YV46</v>
      </c>
      <c r="G276" t="s">
        <v>301</v>
      </c>
      <c r="I276" t="s">
        <v>103</v>
      </c>
      <c r="J276">
        <v>0.839602791</v>
      </c>
      <c r="K276">
        <v>273577</v>
      </c>
      <c r="L276">
        <v>4538405.89</v>
      </c>
      <c r="M276">
        <v>3790141.65</v>
      </c>
      <c r="N276">
        <v>43.36</v>
      </c>
      <c r="O276">
        <v>11862298.72</v>
      </c>
      <c r="P276">
        <v>9959619.11</v>
      </c>
      <c r="Q276">
        <v>0</v>
      </c>
      <c r="R276">
        <v>0</v>
      </c>
      <c r="S276">
        <v>0.23</v>
      </c>
      <c r="T276" t="s">
        <v>25</v>
      </c>
    </row>
    <row r="277" spans="1:20" ht="15">
      <c r="A277" t="s">
        <v>19</v>
      </c>
      <c r="B277" t="s">
        <v>20</v>
      </c>
      <c r="C277" t="str">
        <f t="shared" si="4"/>
        <v>31-Dec-21</v>
      </c>
      <c r="D277" t="s">
        <v>21</v>
      </c>
      <c r="E277" t="s">
        <v>22</v>
      </c>
      <c r="F277" t="str">
        <f>"BJ1F880"</f>
        <v>BJ1F880</v>
      </c>
      <c r="G277" t="s">
        <v>302</v>
      </c>
      <c r="I277" t="s">
        <v>103</v>
      </c>
      <c r="J277">
        <v>0.839602791</v>
      </c>
      <c r="K277">
        <v>398642</v>
      </c>
      <c r="L277">
        <v>5632828.37</v>
      </c>
      <c r="M277">
        <v>4900308</v>
      </c>
      <c r="N277">
        <v>13.99</v>
      </c>
      <c r="O277">
        <v>5577001.58</v>
      </c>
      <c r="P277">
        <v>4682466.09</v>
      </c>
      <c r="Q277">
        <v>0</v>
      </c>
      <c r="R277">
        <v>0</v>
      </c>
      <c r="S277">
        <v>0.108</v>
      </c>
      <c r="T277" t="s">
        <v>25</v>
      </c>
    </row>
    <row r="278" spans="1:20" ht="15">
      <c r="A278" t="s">
        <v>19</v>
      </c>
      <c r="B278" t="s">
        <v>20</v>
      </c>
      <c r="C278" t="str">
        <f t="shared" si="4"/>
        <v>31-Dec-21</v>
      </c>
      <c r="D278" t="s">
        <v>21</v>
      </c>
      <c r="E278" t="s">
        <v>22</v>
      </c>
      <c r="F278" t="str">
        <f>"5902941"</f>
        <v>5902941</v>
      </c>
      <c r="G278" t="s">
        <v>303</v>
      </c>
      <c r="I278" t="s">
        <v>103</v>
      </c>
      <c r="J278">
        <v>0.839602791</v>
      </c>
      <c r="K278">
        <v>3610532</v>
      </c>
      <c r="L278">
        <v>20705374.04</v>
      </c>
      <c r="M278">
        <v>16147476.32</v>
      </c>
      <c r="N278">
        <v>5.574</v>
      </c>
      <c r="O278">
        <v>20125105.37</v>
      </c>
      <c r="P278">
        <v>16897094.63</v>
      </c>
      <c r="Q278">
        <v>0</v>
      </c>
      <c r="R278">
        <v>0</v>
      </c>
      <c r="S278">
        <v>0.391</v>
      </c>
      <c r="T278" t="s">
        <v>25</v>
      </c>
    </row>
    <row r="279" spans="1:20" ht="15">
      <c r="A279" t="s">
        <v>19</v>
      </c>
      <c r="B279" t="s">
        <v>20</v>
      </c>
      <c r="C279" t="str">
        <f t="shared" si="4"/>
        <v>31-Dec-21</v>
      </c>
      <c r="D279" t="s">
        <v>21</v>
      </c>
      <c r="E279" t="s">
        <v>22</v>
      </c>
      <c r="F279" t="str">
        <f>"B07G378"</f>
        <v>B07G378</v>
      </c>
      <c r="G279" t="s">
        <v>304</v>
      </c>
      <c r="I279" t="s">
        <v>103</v>
      </c>
      <c r="J279">
        <v>0.839602791</v>
      </c>
      <c r="K279">
        <v>90706</v>
      </c>
      <c r="L279">
        <v>2692789.9</v>
      </c>
      <c r="M279">
        <v>2060889.54</v>
      </c>
      <c r="N279">
        <v>33.3</v>
      </c>
      <c r="O279">
        <v>3020509.8</v>
      </c>
      <c r="P279">
        <v>2536028.46</v>
      </c>
      <c r="Q279">
        <v>0</v>
      </c>
      <c r="R279">
        <v>0</v>
      </c>
      <c r="S279">
        <v>0.059</v>
      </c>
      <c r="T279" t="s">
        <v>25</v>
      </c>
    </row>
    <row r="280" spans="1:20" ht="15">
      <c r="A280" t="s">
        <v>19</v>
      </c>
      <c r="B280" t="s">
        <v>20</v>
      </c>
      <c r="C280" t="str">
        <f t="shared" si="4"/>
        <v>31-Dec-21</v>
      </c>
      <c r="D280" t="s">
        <v>21</v>
      </c>
      <c r="E280" t="s">
        <v>22</v>
      </c>
      <c r="F280" t="str">
        <f>"BFM0SV9"</f>
        <v>BFM0SV9</v>
      </c>
      <c r="G280" t="s">
        <v>305</v>
      </c>
      <c r="I280" t="s">
        <v>103</v>
      </c>
      <c r="J280">
        <v>0.839602791</v>
      </c>
      <c r="K280">
        <v>2341771</v>
      </c>
      <c r="L280">
        <v>18732112.09</v>
      </c>
      <c r="M280">
        <v>16396014.41</v>
      </c>
      <c r="N280">
        <v>10.786</v>
      </c>
      <c r="O280">
        <v>25258342.01</v>
      </c>
      <c r="P280">
        <v>21206974.44</v>
      </c>
      <c r="Q280">
        <v>0</v>
      </c>
      <c r="R280">
        <v>0</v>
      </c>
      <c r="S280">
        <v>0.49</v>
      </c>
      <c r="T280" t="s">
        <v>25</v>
      </c>
    </row>
    <row r="281" spans="1:20" ht="15">
      <c r="A281" t="s">
        <v>19</v>
      </c>
      <c r="B281" t="s">
        <v>20</v>
      </c>
      <c r="C281" t="str">
        <f t="shared" si="4"/>
        <v>31-Dec-21</v>
      </c>
      <c r="D281" t="s">
        <v>21</v>
      </c>
      <c r="E281" t="s">
        <v>22</v>
      </c>
      <c r="F281" t="str">
        <f>"4651459"</f>
        <v>4651459</v>
      </c>
      <c r="G281" t="s">
        <v>306</v>
      </c>
      <c r="I281" t="s">
        <v>103</v>
      </c>
      <c r="J281">
        <v>0.839602791</v>
      </c>
      <c r="K281">
        <v>94269</v>
      </c>
      <c r="L281">
        <v>2978875.78</v>
      </c>
      <c r="M281">
        <v>2325314.87</v>
      </c>
      <c r="N281">
        <v>49.95</v>
      </c>
      <c r="O281">
        <v>4708736.55</v>
      </c>
      <c r="P281">
        <v>3953468.35</v>
      </c>
      <c r="Q281">
        <v>0</v>
      </c>
      <c r="R281">
        <v>0</v>
      </c>
      <c r="S281">
        <v>0.091</v>
      </c>
      <c r="T281" t="s">
        <v>25</v>
      </c>
    </row>
    <row r="282" spans="1:20" ht="15">
      <c r="A282" t="s">
        <v>19</v>
      </c>
      <c r="B282" t="s">
        <v>20</v>
      </c>
      <c r="C282" t="str">
        <f t="shared" si="4"/>
        <v>31-Dec-21</v>
      </c>
      <c r="D282" t="s">
        <v>21</v>
      </c>
      <c r="E282" t="s">
        <v>22</v>
      </c>
      <c r="F282" t="str">
        <f>"5176177"</f>
        <v>5176177</v>
      </c>
      <c r="G282" t="s">
        <v>307</v>
      </c>
      <c r="I282" t="s">
        <v>103</v>
      </c>
      <c r="J282">
        <v>0.839602791</v>
      </c>
      <c r="K282">
        <v>1261233</v>
      </c>
      <c r="L282">
        <v>18441930.53</v>
      </c>
      <c r="M282">
        <v>14173933.75</v>
      </c>
      <c r="N282">
        <v>9.413</v>
      </c>
      <c r="O282">
        <v>11871986.23</v>
      </c>
      <c r="P282">
        <v>9967752.77</v>
      </c>
      <c r="Q282">
        <v>0</v>
      </c>
      <c r="R282">
        <v>0</v>
      </c>
      <c r="S282">
        <v>0.23</v>
      </c>
      <c r="T282" t="s">
        <v>25</v>
      </c>
    </row>
    <row r="283" spans="1:20" ht="15">
      <c r="A283" t="s">
        <v>19</v>
      </c>
      <c r="B283" t="s">
        <v>20</v>
      </c>
      <c r="C283" t="str">
        <f t="shared" si="4"/>
        <v>31-Dec-21</v>
      </c>
      <c r="D283" t="s">
        <v>21</v>
      </c>
      <c r="E283" t="s">
        <v>22</v>
      </c>
      <c r="F283" t="str">
        <f>"B17NY40"</f>
        <v>B17NY40</v>
      </c>
      <c r="G283" t="s">
        <v>308</v>
      </c>
      <c r="I283" t="s">
        <v>103</v>
      </c>
      <c r="J283">
        <v>0.839602791</v>
      </c>
      <c r="K283">
        <v>66951</v>
      </c>
      <c r="L283">
        <v>2097603.6</v>
      </c>
      <c r="M283">
        <v>1605816.66</v>
      </c>
      <c r="N283">
        <v>36.52</v>
      </c>
      <c r="O283">
        <v>2445050.52</v>
      </c>
      <c r="P283">
        <v>2052871.24</v>
      </c>
      <c r="Q283">
        <v>0</v>
      </c>
      <c r="R283">
        <v>0</v>
      </c>
      <c r="S283">
        <v>0.047</v>
      </c>
      <c r="T283" t="s">
        <v>25</v>
      </c>
    </row>
    <row r="284" spans="1:20" ht="15">
      <c r="A284" t="s">
        <v>19</v>
      </c>
      <c r="B284" t="s">
        <v>20</v>
      </c>
      <c r="C284" t="str">
        <f t="shared" si="4"/>
        <v>31-Dec-21</v>
      </c>
      <c r="D284" t="s">
        <v>21</v>
      </c>
      <c r="E284" t="s">
        <v>22</v>
      </c>
      <c r="F284" t="str">
        <f>"7339451"</f>
        <v>7339451</v>
      </c>
      <c r="G284" t="s">
        <v>309</v>
      </c>
      <c r="I284" t="s">
        <v>103</v>
      </c>
      <c r="J284">
        <v>0.839602791</v>
      </c>
      <c r="K284">
        <v>33092</v>
      </c>
      <c r="L284">
        <v>2832104.15</v>
      </c>
      <c r="M284">
        <v>2336891.45</v>
      </c>
      <c r="N284">
        <v>88.1</v>
      </c>
      <c r="O284">
        <v>2915405.2</v>
      </c>
      <c r="P284">
        <v>2447782.34</v>
      </c>
      <c r="Q284">
        <v>0</v>
      </c>
      <c r="R284">
        <v>0</v>
      </c>
      <c r="S284">
        <v>0.057</v>
      </c>
      <c r="T284" t="s">
        <v>25</v>
      </c>
    </row>
    <row r="285" spans="1:20" ht="15">
      <c r="A285" t="s">
        <v>19</v>
      </c>
      <c r="B285" t="s">
        <v>20</v>
      </c>
      <c r="C285" t="str">
        <f t="shared" si="4"/>
        <v>31-Dec-21</v>
      </c>
      <c r="D285" t="s">
        <v>21</v>
      </c>
      <c r="E285" t="s">
        <v>22</v>
      </c>
      <c r="F285" t="str">
        <f>"4682329"</f>
        <v>4682329</v>
      </c>
      <c r="G285" t="s">
        <v>310</v>
      </c>
      <c r="I285" t="s">
        <v>103</v>
      </c>
      <c r="J285">
        <v>0.839602791</v>
      </c>
      <c r="K285">
        <v>134535</v>
      </c>
      <c r="L285">
        <v>16480327.35</v>
      </c>
      <c r="M285">
        <v>13003736.42</v>
      </c>
      <c r="N285">
        <v>211.5</v>
      </c>
      <c r="O285">
        <v>28454152.5</v>
      </c>
      <c r="P285">
        <v>23890185.85</v>
      </c>
      <c r="Q285">
        <v>0</v>
      </c>
      <c r="R285">
        <v>0</v>
      </c>
      <c r="S285">
        <v>0.552</v>
      </c>
      <c r="T285" t="s">
        <v>25</v>
      </c>
    </row>
    <row r="286" spans="1:20" ht="15">
      <c r="A286" t="s">
        <v>19</v>
      </c>
      <c r="B286" t="s">
        <v>20</v>
      </c>
      <c r="C286" t="str">
        <f t="shared" si="4"/>
        <v>31-Dec-21</v>
      </c>
      <c r="D286" t="s">
        <v>21</v>
      </c>
      <c r="E286" t="s">
        <v>22</v>
      </c>
      <c r="F286" t="str">
        <f>"BZ5ZHK3"</f>
        <v>BZ5ZHK3</v>
      </c>
      <c r="G286" t="s">
        <v>311</v>
      </c>
      <c r="I286" t="s">
        <v>103</v>
      </c>
      <c r="J286">
        <v>0.839602791</v>
      </c>
      <c r="K286">
        <v>342418</v>
      </c>
      <c r="L286">
        <v>2066544.39</v>
      </c>
      <c r="M286">
        <v>1822274.72</v>
      </c>
      <c r="N286">
        <v>6.108</v>
      </c>
      <c r="O286">
        <v>2091489.14</v>
      </c>
      <c r="P286">
        <v>1756020.12</v>
      </c>
      <c r="Q286">
        <v>0</v>
      </c>
      <c r="R286">
        <v>0</v>
      </c>
      <c r="S286">
        <v>0.041</v>
      </c>
      <c r="T286" t="s">
        <v>25</v>
      </c>
    </row>
    <row r="287" spans="1:20" ht="15">
      <c r="A287" t="s">
        <v>19</v>
      </c>
      <c r="B287" t="s">
        <v>20</v>
      </c>
      <c r="C287" t="str">
        <f t="shared" si="4"/>
        <v>31-Dec-21</v>
      </c>
      <c r="D287" t="s">
        <v>21</v>
      </c>
      <c r="E287" t="s">
        <v>22</v>
      </c>
      <c r="F287" t="str">
        <f>"7101069"</f>
        <v>7101069</v>
      </c>
      <c r="G287" t="s">
        <v>312</v>
      </c>
      <c r="I287" t="s">
        <v>103</v>
      </c>
      <c r="J287">
        <v>0.839602791</v>
      </c>
      <c r="K287">
        <v>100134</v>
      </c>
      <c r="L287">
        <v>7129629.95</v>
      </c>
      <c r="M287">
        <v>5413576.66</v>
      </c>
      <c r="N287">
        <v>83.44</v>
      </c>
      <c r="O287">
        <v>8355180.96</v>
      </c>
      <c r="P287">
        <v>7015033.25</v>
      </c>
      <c r="Q287">
        <v>0</v>
      </c>
      <c r="R287">
        <v>0</v>
      </c>
      <c r="S287">
        <v>0.162</v>
      </c>
      <c r="T287" t="s">
        <v>25</v>
      </c>
    </row>
    <row r="288" spans="1:20" ht="15">
      <c r="A288" t="s">
        <v>19</v>
      </c>
      <c r="B288" t="s">
        <v>20</v>
      </c>
      <c r="C288" t="str">
        <f t="shared" si="4"/>
        <v>31-Dec-21</v>
      </c>
      <c r="D288" t="s">
        <v>21</v>
      </c>
      <c r="E288" t="s">
        <v>22</v>
      </c>
      <c r="F288" t="str">
        <f>"BYYN701"</f>
        <v>BYYN701</v>
      </c>
      <c r="G288" t="s">
        <v>313</v>
      </c>
      <c r="I288" t="s">
        <v>103</v>
      </c>
      <c r="J288">
        <v>0.839602791</v>
      </c>
      <c r="K288">
        <v>291388</v>
      </c>
      <c r="L288">
        <v>2032727.43</v>
      </c>
      <c r="M288">
        <v>1655166.19</v>
      </c>
      <c r="N288">
        <v>11.54</v>
      </c>
      <c r="O288">
        <v>3362617.52</v>
      </c>
      <c r="P288">
        <v>2823263.05</v>
      </c>
      <c r="Q288">
        <v>0</v>
      </c>
      <c r="R288">
        <v>0</v>
      </c>
      <c r="S288">
        <v>0.065</v>
      </c>
      <c r="T288" t="s">
        <v>25</v>
      </c>
    </row>
    <row r="289" spans="1:20" ht="15">
      <c r="A289" t="s">
        <v>19</v>
      </c>
      <c r="B289" t="s">
        <v>20</v>
      </c>
      <c r="C289" t="str">
        <f t="shared" si="4"/>
        <v>31-Dec-21</v>
      </c>
      <c r="D289" t="s">
        <v>21</v>
      </c>
      <c r="E289" t="s">
        <v>22</v>
      </c>
      <c r="F289" t="str">
        <f>"BCZM1B2"</f>
        <v>BCZM1B2</v>
      </c>
      <c r="G289" t="s">
        <v>314</v>
      </c>
      <c r="I289" t="s">
        <v>103</v>
      </c>
      <c r="J289">
        <v>0.839602791</v>
      </c>
      <c r="K289">
        <v>100509</v>
      </c>
      <c r="L289">
        <v>4090996.69</v>
      </c>
      <c r="M289">
        <v>3088371.43</v>
      </c>
      <c r="N289">
        <v>14.01</v>
      </c>
      <c r="O289">
        <v>1408131.09</v>
      </c>
      <c r="P289">
        <v>1182270.79</v>
      </c>
      <c r="Q289">
        <v>0</v>
      </c>
      <c r="R289">
        <v>0</v>
      </c>
      <c r="S289">
        <v>0.027</v>
      </c>
      <c r="T289" t="s">
        <v>25</v>
      </c>
    </row>
    <row r="290" spans="1:20" ht="15">
      <c r="A290" t="s">
        <v>19</v>
      </c>
      <c r="B290" t="s">
        <v>20</v>
      </c>
      <c r="C290" t="str">
        <f t="shared" si="4"/>
        <v>31-Dec-21</v>
      </c>
      <c r="D290" t="s">
        <v>21</v>
      </c>
      <c r="E290" t="s">
        <v>22</v>
      </c>
      <c r="F290" t="str">
        <f>"BJDS7L3"</f>
        <v>BJDS7L3</v>
      </c>
      <c r="G290" t="s">
        <v>315</v>
      </c>
      <c r="I290" t="s">
        <v>103</v>
      </c>
      <c r="J290">
        <v>0.839602791</v>
      </c>
      <c r="K290">
        <v>571135</v>
      </c>
      <c r="L290">
        <v>40140926.73</v>
      </c>
      <c r="M290">
        <v>34756624.9</v>
      </c>
      <c r="N290">
        <v>73.53</v>
      </c>
      <c r="O290">
        <v>41995556.55</v>
      </c>
      <c r="P290">
        <v>35259586.48</v>
      </c>
      <c r="Q290">
        <v>0</v>
      </c>
      <c r="R290">
        <v>0</v>
      </c>
      <c r="S290">
        <v>0.815</v>
      </c>
      <c r="T290" t="s">
        <v>25</v>
      </c>
    </row>
    <row r="291" spans="1:20" ht="15">
      <c r="A291" t="s">
        <v>19</v>
      </c>
      <c r="B291" t="s">
        <v>20</v>
      </c>
      <c r="C291" t="str">
        <f t="shared" si="4"/>
        <v>31-Dec-21</v>
      </c>
      <c r="D291" t="s">
        <v>21</v>
      </c>
      <c r="E291" t="s">
        <v>22</v>
      </c>
      <c r="F291" t="str">
        <f>"B00D9P6"</f>
        <v>B00D9P6</v>
      </c>
      <c r="G291" t="s">
        <v>316</v>
      </c>
      <c r="I291" t="s">
        <v>103</v>
      </c>
      <c r="J291">
        <v>0.839602791</v>
      </c>
      <c r="K291">
        <v>87218</v>
      </c>
      <c r="L291">
        <v>2668221.46</v>
      </c>
      <c r="M291">
        <v>2018427.62</v>
      </c>
      <c r="N291">
        <v>17.14</v>
      </c>
      <c r="O291">
        <v>1494916.52</v>
      </c>
      <c r="P291">
        <v>1255136.08</v>
      </c>
      <c r="Q291">
        <v>0</v>
      </c>
      <c r="R291">
        <v>0</v>
      </c>
      <c r="S291">
        <v>0.029</v>
      </c>
      <c r="T291" t="s">
        <v>25</v>
      </c>
    </row>
    <row r="292" spans="1:20" ht="15">
      <c r="A292" t="s">
        <v>19</v>
      </c>
      <c r="B292" t="s">
        <v>20</v>
      </c>
      <c r="C292" t="str">
        <f t="shared" si="4"/>
        <v>31-Dec-21</v>
      </c>
      <c r="D292" t="s">
        <v>21</v>
      </c>
      <c r="E292" t="s">
        <v>22</v>
      </c>
      <c r="F292" t="str">
        <f>"B1W4V69"</f>
        <v>B1W4V69</v>
      </c>
      <c r="G292" t="s">
        <v>317</v>
      </c>
      <c r="I292" t="s">
        <v>103</v>
      </c>
      <c r="J292">
        <v>0.839602791</v>
      </c>
      <c r="K292">
        <v>175600</v>
      </c>
      <c r="L292">
        <v>3503691.58</v>
      </c>
      <c r="M292">
        <v>2831179.21</v>
      </c>
      <c r="N292">
        <v>33.11</v>
      </c>
      <c r="O292">
        <v>5814116</v>
      </c>
      <c r="P292">
        <v>4881548.02</v>
      </c>
      <c r="Q292">
        <v>0</v>
      </c>
      <c r="R292">
        <v>0</v>
      </c>
      <c r="S292">
        <v>0.113</v>
      </c>
      <c r="T292" t="s">
        <v>25</v>
      </c>
    </row>
    <row r="293" spans="1:20" ht="15">
      <c r="A293" t="s">
        <v>19</v>
      </c>
      <c r="B293" t="s">
        <v>20</v>
      </c>
      <c r="C293" t="str">
        <f t="shared" si="4"/>
        <v>31-Dec-21</v>
      </c>
      <c r="D293" t="s">
        <v>21</v>
      </c>
      <c r="E293" t="s">
        <v>22</v>
      </c>
      <c r="F293" t="str">
        <f>"4380429"</f>
        <v>4380429</v>
      </c>
      <c r="G293" t="s">
        <v>318</v>
      </c>
      <c r="I293" t="s">
        <v>103</v>
      </c>
      <c r="J293">
        <v>0.839602791</v>
      </c>
      <c r="K293">
        <v>153320</v>
      </c>
      <c r="L293">
        <v>9246147.04</v>
      </c>
      <c r="M293">
        <v>7237171.92</v>
      </c>
      <c r="N293">
        <v>59.2</v>
      </c>
      <c r="O293">
        <v>9076544</v>
      </c>
      <c r="P293">
        <v>7620691.67</v>
      </c>
      <c r="Q293">
        <v>0</v>
      </c>
      <c r="R293">
        <v>0</v>
      </c>
      <c r="S293">
        <v>0.176</v>
      </c>
      <c r="T293" t="s">
        <v>25</v>
      </c>
    </row>
    <row r="294" spans="1:20" ht="15">
      <c r="A294" t="s">
        <v>19</v>
      </c>
      <c r="B294" t="s">
        <v>20</v>
      </c>
      <c r="C294" t="str">
        <f t="shared" si="4"/>
        <v>31-Dec-21</v>
      </c>
      <c r="D294" t="s">
        <v>21</v>
      </c>
      <c r="E294" t="s">
        <v>22</v>
      </c>
      <c r="F294" t="str">
        <f>"5064722"</f>
        <v>5064722</v>
      </c>
      <c r="G294" t="s">
        <v>319</v>
      </c>
      <c r="I294" t="s">
        <v>103</v>
      </c>
      <c r="J294">
        <v>0.839602791</v>
      </c>
      <c r="K294">
        <v>64896</v>
      </c>
      <c r="L294">
        <v>2413401.59</v>
      </c>
      <c r="M294">
        <v>2060416.66</v>
      </c>
      <c r="N294">
        <v>107.5</v>
      </c>
      <c r="O294">
        <v>6976320</v>
      </c>
      <c r="P294">
        <v>5857337.74</v>
      </c>
      <c r="Q294">
        <v>0</v>
      </c>
      <c r="R294">
        <v>0</v>
      </c>
      <c r="S294">
        <v>0.135</v>
      </c>
      <c r="T294" t="s">
        <v>25</v>
      </c>
    </row>
    <row r="295" spans="1:20" ht="15">
      <c r="A295" t="s">
        <v>19</v>
      </c>
      <c r="B295" t="s">
        <v>20</v>
      </c>
      <c r="C295" t="str">
        <f t="shared" si="4"/>
        <v>31-Dec-21</v>
      </c>
      <c r="D295" t="s">
        <v>21</v>
      </c>
      <c r="E295" t="s">
        <v>22</v>
      </c>
      <c r="F295" t="str">
        <f>"BYXS699"</f>
        <v>BYXS699</v>
      </c>
      <c r="G295" t="s">
        <v>320</v>
      </c>
      <c r="I295" t="s">
        <v>103</v>
      </c>
      <c r="J295">
        <v>0.839602791</v>
      </c>
      <c r="K295">
        <v>144586</v>
      </c>
      <c r="L295">
        <v>3574147.11</v>
      </c>
      <c r="M295">
        <v>2794290.6</v>
      </c>
      <c r="N295">
        <v>48.99</v>
      </c>
      <c r="O295">
        <v>7083268.14</v>
      </c>
      <c r="P295">
        <v>5947131.7</v>
      </c>
      <c r="Q295">
        <v>0</v>
      </c>
      <c r="R295">
        <v>0</v>
      </c>
      <c r="S295">
        <v>0.137</v>
      </c>
      <c r="T295" t="s">
        <v>25</v>
      </c>
    </row>
    <row r="296" spans="1:20" ht="15">
      <c r="A296" t="s">
        <v>19</v>
      </c>
      <c r="B296" t="s">
        <v>20</v>
      </c>
      <c r="C296" t="str">
        <f t="shared" si="4"/>
        <v>31-Dec-21</v>
      </c>
      <c r="D296" t="s">
        <v>21</v>
      </c>
      <c r="E296" t="s">
        <v>22</v>
      </c>
      <c r="F296" t="str">
        <f>"B1BK209"</f>
        <v>B1BK209</v>
      </c>
      <c r="G296" t="s">
        <v>321</v>
      </c>
      <c r="I296" t="s">
        <v>103</v>
      </c>
      <c r="J296">
        <v>0.839602791</v>
      </c>
      <c r="K296">
        <v>24502</v>
      </c>
      <c r="L296">
        <v>2001640.38</v>
      </c>
      <c r="M296">
        <v>1495854.56</v>
      </c>
      <c r="N296">
        <v>46.62</v>
      </c>
      <c r="O296">
        <v>1142283.24</v>
      </c>
      <c r="P296">
        <v>959064.2</v>
      </c>
      <c r="Q296">
        <v>0</v>
      </c>
      <c r="R296">
        <v>0</v>
      </c>
      <c r="S296">
        <v>0.022</v>
      </c>
      <c r="T296" t="s">
        <v>25</v>
      </c>
    </row>
    <row r="297" spans="1:20" ht="15">
      <c r="A297" t="s">
        <v>19</v>
      </c>
      <c r="B297" t="s">
        <v>20</v>
      </c>
      <c r="C297" t="str">
        <f t="shared" si="4"/>
        <v>31-Dec-21</v>
      </c>
      <c r="D297" t="s">
        <v>21</v>
      </c>
      <c r="E297" t="s">
        <v>22</v>
      </c>
      <c r="F297" t="str">
        <f>"4768962"</f>
        <v>4768962</v>
      </c>
      <c r="G297" t="s">
        <v>322</v>
      </c>
      <c r="I297" t="s">
        <v>103</v>
      </c>
      <c r="J297">
        <v>0.839602791</v>
      </c>
      <c r="K297">
        <v>402360</v>
      </c>
      <c r="L297">
        <v>8960660.62</v>
      </c>
      <c r="M297">
        <v>7217114.74</v>
      </c>
      <c r="N297">
        <v>35.72</v>
      </c>
      <c r="O297">
        <v>14372299.2</v>
      </c>
      <c r="P297">
        <v>12067022.52</v>
      </c>
      <c r="Q297">
        <v>0</v>
      </c>
      <c r="R297">
        <v>0</v>
      </c>
      <c r="S297">
        <v>0.279</v>
      </c>
      <c r="T297" t="s">
        <v>25</v>
      </c>
    </row>
    <row r="298" spans="1:20" ht="15">
      <c r="A298" t="s">
        <v>19</v>
      </c>
      <c r="B298" t="s">
        <v>20</v>
      </c>
      <c r="C298" t="str">
        <f t="shared" si="4"/>
        <v>31-Dec-21</v>
      </c>
      <c r="D298" t="s">
        <v>21</v>
      </c>
      <c r="E298" t="s">
        <v>22</v>
      </c>
      <c r="F298" t="str">
        <f>"B0704T9"</f>
        <v>B0704T9</v>
      </c>
      <c r="G298" t="s">
        <v>323</v>
      </c>
      <c r="I298" t="s">
        <v>103</v>
      </c>
      <c r="J298">
        <v>0.839602791</v>
      </c>
      <c r="K298">
        <v>85368</v>
      </c>
      <c r="L298">
        <v>1516689.1</v>
      </c>
      <c r="M298">
        <v>1199287.79</v>
      </c>
      <c r="N298">
        <v>25.88</v>
      </c>
      <c r="O298">
        <v>2209323.84</v>
      </c>
      <c r="P298">
        <v>1854954.46</v>
      </c>
      <c r="Q298">
        <v>0</v>
      </c>
      <c r="R298">
        <v>0</v>
      </c>
      <c r="S298">
        <v>0.043</v>
      </c>
      <c r="T298" t="s">
        <v>25</v>
      </c>
    </row>
    <row r="299" spans="1:20" ht="15">
      <c r="A299" t="s">
        <v>19</v>
      </c>
      <c r="B299" t="s">
        <v>20</v>
      </c>
      <c r="C299" t="str">
        <f t="shared" si="4"/>
        <v>31-Dec-21</v>
      </c>
      <c r="D299" t="s">
        <v>21</v>
      </c>
      <c r="E299" t="s">
        <v>22</v>
      </c>
      <c r="F299" t="str">
        <f>"5228658"</f>
        <v>5228658</v>
      </c>
      <c r="G299" t="s">
        <v>324</v>
      </c>
      <c r="I299" t="s">
        <v>103</v>
      </c>
      <c r="J299">
        <v>0.839602791</v>
      </c>
      <c r="K299">
        <v>73058</v>
      </c>
      <c r="L299">
        <v>3842226.26</v>
      </c>
      <c r="M299">
        <v>2953625.75</v>
      </c>
      <c r="N299">
        <v>60.04</v>
      </c>
      <c r="O299">
        <v>4386402.32</v>
      </c>
      <c r="P299">
        <v>3682835.63</v>
      </c>
      <c r="Q299">
        <v>0</v>
      </c>
      <c r="R299">
        <v>0</v>
      </c>
      <c r="S299">
        <v>0.085</v>
      </c>
      <c r="T299" t="s">
        <v>25</v>
      </c>
    </row>
    <row r="300" spans="1:20" ht="15">
      <c r="A300" t="s">
        <v>19</v>
      </c>
      <c r="B300" t="s">
        <v>20</v>
      </c>
      <c r="C300" t="str">
        <f t="shared" si="4"/>
        <v>31-Dec-21</v>
      </c>
      <c r="D300" t="s">
        <v>21</v>
      </c>
      <c r="E300" t="s">
        <v>22</v>
      </c>
      <c r="F300" t="str">
        <f>"5910609"</f>
        <v>5910609</v>
      </c>
      <c r="G300" t="s">
        <v>325</v>
      </c>
      <c r="I300" t="s">
        <v>103</v>
      </c>
      <c r="J300">
        <v>0.839602791</v>
      </c>
      <c r="K300">
        <v>2182</v>
      </c>
      <c r="L300">
        <v>1002755.24</v>
      </c>
      <c r="M300">
        <v>792744.96</v>
      </c>
      <c r="N300">
        <v>900.4</v>
      </c>
      <c r="O300">
        <v>1964672.8</v>
      </c>
      <c r="P300">
        <v>1649544.77</v>
      </c>
      <c r="Q300">
        <v>0</v>
      </c>
      <c r="R300">
        <v>0</v>
      </c>
      <c r="S300">
        <v>0.038</v>
      </c>
      <c r="T300" t="s">
        <v>25</v>
      </c>
    </row>
    <row r="301" spans="1:20" ht="15">
      <c r="A301" t="s">
        <v>19</v>
      </c>
      <c r="B301" t="s">
        <v>20</v>
      </c>
      <c r="C301" t="str">
        <f t="shared" si="4"/>
        <v>31-Dec-21</v>
      </c>
      <c r="D301" t="s">
        <v>21</v>
      </c>
      <c r="E301" t="s">
        <v>22</v>
      </c>
      <c r="F301" t="str">
        <f>"B07DRZ5"</f>
        <v>B07DRZ5</v>
      </c>
      <c r="G301" t="s">
        <v>326</v>
      </c>
      <c r="I301" t="s">
        <v>103</v>
      </c>
      <c r="J301">
        <v>0.839602791</v>
      </c>
      <c r="K301">
        <v>63160</v>
      </c>
      <c r="L301">
        <v>1595888.32</v>
      </c>
      <c r="M301">
        <v>1303341.76</v>
      </c>
      <c r="N301">
        <v>56.5</v>
      </c>
      <c r="O301">
        <v>3568540</v>
      </c>
      <c r="P301">
        <v>2996156.14</v>
      </c>
      <c r="Q301">
        <v>0</v>
      </c>
      <c r="R301">
        <v>0</v>
      </c>
      <c r="S301">
        <v>0.069</v>
      </c>
      <c r="T301" t="s">
        <v>25</v>
      </c>
    </row>
    <row r="302" spans="1:20" ht="15">
      <c r="A302" t="s">
        <v>19</v>
      </c>
      <c r="B302" t="s">
        <v>20</v>
      </c>
      <c r="C302" t="str">
        <f t="shared" si="4"/>
        <v>31-Dec-21</v>
      </c>
      <c r="D302" t="s">
        <v>21</v>
      </c>
      <c r="E302" t="s">
        <v>22</v>
      </c>
      <c r="F302" t="str">
        <f>"BD6FXN3"</f>
        <v>BD6FXN3</v>
      </c>
      <c r="G302" t="s">
        <v>327</v>
      </c>
      <c r="I302" t="s">
        <v>103</v>
      </c>
      <c r="J302">
        <v>0.839602791</v>
      </c>
      <c r="K302">
        <v>280213</v>
      </c>
      <c r="L302">
        <v>5292870.27</v>
      </c>
      <c r="M302">
        <v>4044536.91</v>
      </c>
      <c r="N302">
        <v>19.025</v>
      </c>
      <c r="O302">
        <v>5331052.32</v>
      </c>
      <c r="P302">
        <v>4475966.41</v>
      </c>
      <c r="Q302">
        <v>0</v>
      </c>
      <c r="R302">
        <v>0</v>
      </c>
      <c r="S302">
        <v>0.103</v>
      </c>
      <c r="T302" t="s">
        <v>25</v>
      </c>
    </row>
    <row r="303" spans="1:20" ht="15">
      <c r="A303" t="s">
        <v>19</v>
      </c>
      <c r="B303" t="s">
        <v>20</v>
      </c>
      <c r="C303" t="str">
        <f t="shared" si="4"/>
        <v>31-Dec-21</v>
      </c>
      <c r="D303" t="s">
        <v>21</v>
      </c>
      <c r="E303" t="s">
        <v>22</v>
      </c>
      <c r="F303" t="str">
        <f>"4741714"</f>
        <v>4741714</v>
      </c>
      <c r="G303" t="s">
        <v>328</v>
      </c>
      <c r="I303" t="s">
        <v>103</v>
      </c>
      <c r="J303">
        <v>0.839602791</v>
      </c>
      <c r="K303">
        <v>16688</v>
      </c>
      <c r="L303">
        <v>1476203.07</v>
      </c>
      <c r="M303">
        <v>1176446.56</v>
      </c>
      <c r="N303">
        <v>214</v>
      </c>
      <c r="O303">
        <v>3571232</v>
      </c>
      <c r="P303">
        <v>2998416.35</v>
      </c>
      <c r="Q303">
        <v>0</v>
      </c>
      <c r="R303">
        <v>0</v>
      </c>
      <c r="S303">
        <v>0.069</v>
      </c>
      <c r="T303" t="s">
        <v>25</v>
      </c>
    </row>
    <row r="304" spans="1:20" ht="15">
      <c r="A304" t="s">
        <v>19</v>
      </c>
      <c r="B304" t="s">
        <v>20</v>
      </c>
      <c r="C304" t="str">
        <f t="shared" si="4"/>
        <v>31-Dec-21</v>
      </c>
      <c r="D304" t="s">
        <v>21</v>
      </c>
      <c r="E304" t="s">
        <v>22</v>
      </c>
      <c r="F304" t="str">
        <f>"4712798"</f>
        <v>4712798</v>
      </c>
      <c r="G304" t="s">
        <v>329</v>
      </c>
      <c r="I304" t="s">
        <v>103</v>
      </c>
      <c r="J304">
        <v>0.839602791</v>
      </c>
      <c r="K304">
        <v>118713</v>
      </c>
      <c r="L304">
        <v>9895475.79</v>
      </c>
      <c r="M304">
        <v>7561581.31</v>
      </c>
      <c r="N304">
        <v>30.545</v>
      </c>
      <c r="O304">
        <v>3626088.59</v>
      </c>
      <c r="P304">
        <v>3044474.1</v>
      </c>
      <c r="Q304">
        <v>0</v>
      </c>
      <c r="R304">
        <v>0</v>
      </c>
      <c r="S304">
        <v>0.07</v>
      </c>
      <c r="T304" t="s">
        <v>25</v>
      </c>
    </row>
    <row r="305" spans="1:20" ht="15">
      <c r="A305" t="s">
        <v>19</v>
      </c>
      <c r="B305" t="s">
        <v>20</v>
      </c>
      <c r="C305" t="str">
        <f t="shared" si="4"/>
        <v>31-Dec-21</v>
      </c>
      <c r="D305" t="s">
        <v>21</v>
      </c>
      <c r="E305" t="s">
        <v>22</v>
      </c>
      <c r="F305" t="str">
        <f>"BZ1DZ96"</f>
        <v>BZ1DZ96</v>
      </c>
      <c r="G305" t="s">
        <v>330</v>
      </c>
      <c r="I305" t="s">
        <v>103</v>
      </c>
      <c r="J305">
        <v>0.839602791</v>
      </c>
      <c r="K305">
        <v>14587</v>
      </c>
      <c r="L305">
        <v>2519277.01</v>
      </c>
      <c r="M305">
        <v>2150924.15</v>
      </c>
      <c r="N305">
        <v>178.7</v>
      </c>
      <c r="O305">
        <v>2606696.9</v>
      </c>
      <c r="P305">
        <v>2188589.99</v>
      </c>
      <c r="Q305">
        <v>0</v>
      </c>
      <c r="R305">
        <v>0</v>
      </c>
      <c r="S305">
        <v>0.051</v>
      </c>
      <c r="T305" t="s">
        <v>25</v>
      </c>
    </row>
    <row r="306" spans="1:20" ht="15">
      <c r="A306" t="s">
        <v>19</v>
      </c>
      <c r="B306" t="s">
        <v>20</v>
      </c>
      <c r="C306" t="str">
        <f t="shared" si="4"/>
        <v>31-Dec-21</v>
      </c>
      <c r="D306" t="s">
        <v>21</v>
      </c>
      <c r="E306" t="s">
        <v>22</v>
      </c>
      <c r="F306" t="str">
        <f>"5669354"</f>
        <v>5669354</v>
      </c>
      <c r="G306" t="s">
        <v>331</v>
      </c>
      <c r="I306" t="s">
        <v>103</v>
      </c>
      <c r="J306">
        <v>0.839602791</v>
      </c>
      <c r="K306">
        <v>867872</v>
      </c>
      <c r="L306">
        <v>9768188.95</v>
      </c>
      <c r="M306">
        <v>7793257.38</v>
      </c>
      <c r="N306">
        <v>10.436</v>
      </c>
      <c r="O306">
        <v>9057112.19</v>
      </c>
      <c r="P306">
        <v>7604376.67</v>
      </c>
      <c r="Q306">
        <v>0</v>
      </c>
      <c r="R306">
        <v>0</v>
      </c>
      <c r="S306">
        <v>0.176</v>
      </c>
      <c r="T306" t="s">
        <v>25</v>
      </c>
    </row>
    <row r="307" spans="1:20" ht="15">
      <c r="A307" t="s">
        <v>19</v>
      </c>
      <c r="B307" t="s">
        <v>20</v>
      </c>
      <c r="C307" t="str">
        <f t="shared" si="4"/>
        <v>31-Dec-21</v>
      </c>
      <c r="D307" t="s">
        <v>21</v>
      </c>
      <c r="E307" t="s">
        <v>22</v>
      </c>
      <c r="F307" t="str">
        <f>"B1VP0K0"</f>
        <v>B1VP0K0</v>
      </c>
      <c r="G307" t="s">
        <v>332</v>
      </c>
      <c r="I307" t="s">
        <v>103</v>
      </c>
      <c r="J307">
        <v>0.839602791</v>
      </c>
      <c r="K307">
        <v>197055</v>
      </c>
      <c r="L307">
        <v>2752414.42</v>
      </c>
      <c r="M307">
        <v>2090194.17</v>
      </c>
      <c r="N307">
        <v>17.83</v>
      </c>
      <c r="O307">
        <v>3513490.65</v>
      </c>
      <c r="P307">
        <v>2949936.56</v>
      </c>
      <c r="Q307">
        <v>0</v>
      </c>
      <c r="R307">
        <v>0</v>
      </c>
      <c r="S307">
        <v>0.068</v>
      </c>
      <c r="T307" t="s">
        <v>25</v>
      </c>
    </row>
    <row r="308" spans="1:20" ht="15">
      <c r="A308" t="s">
        <v>19</v>
      </c>
      <c r="B308" t="s">
        <v>20</v>
      </c>
      <c r="C308" t="str">
        <f t="shared" si="4"/>
        <v>31-Dec-21</v>
      </c>
      <c r="D308" t="s">
        <v>21</v>
      </c>
      <c r="E308" t="s">
        <v>22</v>
      </c>
      <c r="F308" t="str">
        <f>"5334588"</f>
        <v>5334588</v>
      </c>
      <c r="G308" t="s">
        <v>333</v>
      </c>
      <c r="I308" t="s">
        <v>103</v>
      </c>
      <c r="J308">
        <v>0.839602791</v>
      </c>
      <c r="K308">
        <v>30120</v>
      </c>
      <c r="L308">
        <v>3101265.21</v>
      </c>
      <c r="M308">
        <v>2719147.12</v>
      </c>
      <c r="N308">
        <v>83.06</v>
      </c>
      <c r="O308">
        <v>2501767.2</v>
      </c>
      <c r="P308">
        <v>2100490.72</v>
      </c>
      <c r="Q308">
        <v>0</v>
      </c>
      <c r="R308">
        <v>0</v>
      </c>
      <c r="S308">
        <v>0.049</v>
      </c>
      <c r="T308" t="s">
        <v>25</v>
      </c>
    </row>
    <row r="309" spans="1:20" ht="15">
      <c r="A309" t="s">
        <v>19</v>
      </c>
      <c r="B309" t="s">
        <v>20</v>
      </c>
      <c r="C309" t="str">
        <f t="shared" si="4"/>
        <v>31-Dec-21</v>
      </c>
      <c r="D309" t="s">
        <v>21</v>
      </c>
      <c r="E309" t="s">
        <v>22</v>
      </c>
      <c r="F309" t="str">
        <f>"BDT88L2"</f>
        <v>BDT88L2</v>
      </c>
      <c r="G309" t="s">
        <v>334</v>
      </c>
      <c r="I309" t="s">
        <v>103</v>
      </c>
      <c r="J309">
        <v>0.839602791</v>
      </c>
      <c r="K309">
        <v>61737</v>
      </c>
      <c r="L309">
        <v>3164961.38</v>
      </c>
      <c r="M309">
        <v>2807035.4</v>
      </c>
      <c r="N309">
        <v>26.26</v>
      </c>
      <c r="O309">
        <v>1621213.62</v>
      </c>
      <c r="P309">
        <v>1361175.48</v>
      </c>
      <c r="Q309">
        <v>0</v>
      </c>
      <c r="R309">
        <v>0</v>
      </c>
      <c r="S309">
        <v>0.031</v>
      </c>
      <c r="T309" t="s">
        <v>25</v>
      </c>
    </row>
    <row r="310" spans="1:20" ht="15">
      <c r="A310" t="s">
        <v>19</v>
      </c>
      <c r="B310" t="s">
        <v>20</v>
      </c>
      <c r="C310" t="str">
        <f t="shared" si="4"/>
        <v>31-Dec-21</v>
      </c>
      <c r="D310" t="s">
        <v>21</v>
      </c>
      <c r="E310" t="s">
        <v>22</v>
      </c>
      <c r="F310" t="str">
        <f>"4846288"</f>
        <v>4846288</v>
      </c>
      <c r="G310" t="s">
        <v>335</v>
      </c>
      <c r="I310" t="s">
        <v>103</v>
      </c>
      <c r="J310">
        <v>0.839602791</v>
      </c>
      <c r="K310">
        <v>723954</v>
      </c>
      <c r="L310">
        <v>62099861.64</v>
      </c>
      <c r="M310">
        <v>50795237.62</v>
      </c>
      <c r="N310">
        <v>124.9</v>
      </c>
      <c r="O310">
        <v>90421854.6</v>
      </c>
      <c r="P310">
        <v>75918441.47</v>
      </c>
      <c r="Q310">
        <v>0</v>
      </c>
      <c r="R310">
        <v>0</v>
      </c>
      <c r="S310">
        <v>1.755</v>
      </c>
      <c r="T310" t="s">
        <v>25</v>
      </c>
    </row>
    <row r="311" spans="1:20" ht="15">
      <c r="A311" t="s">
        <v>19</v>
      </c>
      <c r="B311" t="s">
        <v>20</v>
      </c>
      <c r="C311" t="str">
        <f t="shared" si="4"/>
        <v>31-Dec-21</v>
      </c>
      <c r="D311" t="s">
        <v>21</v>
      </c>
      <c r="E311" t="s">
        <v>22</v>
      </c>
      <c r="F311" t="str">
        <f>"B1LB9P6"</f>
        <v>B1LB9P6</v>
      </c>
      <c r="G311" t="s">
        <v>336</v>
      </c>
      <c r="I311" t="s">
        <v>103</v>
      </c>
      <c r="J311">
        <v>0.839602791</v>
      </c>
      <c r="K311">
        <v>98408</v>
      </c>
      <c r="L311">
        <v>3161065.79</v>
      </c>
      <c r="M311">
        <v>2417940.06</v>
      </c>
      <c r="N311">
        <v>27.44</v>
      </c>
      <c r="O311">
        <v>2700315.52</v>
      </c>
      <c r="P311">
        <v>2267192.45</v>
      </c>
      <c r="Q311">
        <v>0</v>
      </c>
      <c r="R311">
        <v>0</v>
      </c>
      <c r="S311">
        <v>0.052</v>
      </c>
      <c r="T311" t="s">
        <v>25</v>
      </c>
    </row>
    <row r="312" spans="1:20" ht="15">
      <c r="A312" t="s">
        <v>19</v>
      </c>
      <c r="B312" t="s">
        <v>20</v>
      </c>
      <c r="C312" t="str">
        <f t="shared" si="4"/>
        <v>31-Dec-21</v>
      </c>
      <c r="D312" t="s">
        <v>21</v>
      </c>
      <c r="E312" t="s">
        <v>22</v>
      </c>
      <c r="F312" t="str">
        <f>"4792132"</f>
        <v>4792132</v>
      </c>
      <c r="G312" t="s">
        <v>337</v>
      </c>
      <c r="I312" t="s">
        <v>103</v>
      </c>
      <c r="J312">
        <v>0.839602791</v>
      </c>
      <c r="K312">
        <v>19489</v>
      </c>
      <c r="L312">
        <v>1786597.85</v>
      </c>
      <c r="M312">
        <v>1413491.69</v>
      </c>
      <c r="N312">
        <v>136.9</v>
      </c>
      <c r="O312">
        <v>2668044.1</v>
      </c>
      <c r="P312">
        <v>2240097.27</v>
      </c>
      <c r="Q312">
        <v>0</v>
      </c>
      <c r="R312">
        <v>0</v>
      </c>
      <c r="S312">
        <v>0.052</v>
      </c>
      <c r="T312" t="s">
        <v>25</v>
      </c>
    </row>
    <row r="313" spans="1:20" ht="15">
      <c r="A313" t="s">
        <v>19</v>
      </c>
      <c r="B313" t="s">
        <v>20</v>
      </c>
      <c r="C313" t="str">
        <f t="shared" si="4"/>
        <v>31-Dec-21</v>
      </c>
      <c r="D313" t="s">
        <v>21</v>
      </c>
      <c r="E313" t="s">
        <v>22</v>
      </c>
      <c r="F313" t="str">
        <f>"BZ6T5C2"</f>
        <v>BZ6T5C2</v>
      </c>
      <c r="G313" t="s">
        <v>338</v>
      </c>
      <c r="I313" t="s">
        <v>103</v>
      </c>
      <c r="J313">
        <v>0.839602791</v>
      </c>
      <c r="K313">
        <v>13386</v>
      </c>
      <c r="L313">
        <v>2187156.19</v>
      </c>
      <c r="M313">
        <v>1877802.45</v>
      </c>
      <c r="N313">
        <v>215.2</v>
      </c>
      <c r="O313">
        <v>2880667.2</v>
      </c>
      <c r="P313">
        <v>2418616.22</v>
      </c>
      <c r="Q313">
        <v>0</v>
      </c>
      <c r="R313">
        <v>0</v>
      </c>
      <c r="S313">
        <v>0.056</v>
      </c>
      <c r="T313" t="s">
        <v>25</v>
      </c>
    </row>
    <row r="314" spans="1:20" ht="15">
      <c r="A314" t="s">
        <v>19</v>
      </c>
      <c r="B314" t="s">
        <v>20</v>
      </c>
      <c r="C314" t="str">
        <f t="shared" si="4"/>
        <v>31-Dec-21</v>
      </c>
      <c r="D314" t="s">
        <v>21</v>
      </c>
      <c r="E314" t="s">
        <v>22</v>
      </c>
      <c r="F314" t="str">
        <f>"5962332"</f>
        <v>5962332</v>
      </c>
      <c r="G314" t="s">
        <v>339</v>
      </c>
      <c r="I314" t="s">
        <v>103</v>
      </c>
      <c r="J314">
        <v>0.839602791</v>
      </c>
      <c r="K314">
        <v>423567</v>
      </c>
      <c r="L314">
        <v>5072687.14</v>
      </c>
      <c r="M314">
        <v>4097336.02</v>
      </c>
      <c r="N314">
        <v>43.37</v>
      </c>
      <c r="O314">
        <v>18370100.79</v>
      </c>
      <c r="P314">
        <v>15423587.89</v>
      </c>
      <c r="Q314">
        <v>0</v>
      </c>
      <c r="R314">
        <v>0</v>
      </c>
      <c r="S314">
        <v>0.356</v>
      </c>
      <c r="T314" t="s">
        <v>25</v>
      </c>
    </row>
    <row r="315" spans="1:20" ht="15">
      <c r="A315" t="s">
        <v>19</v>
      </c>
      <c r="B315" t="s">
        <v>20</v>
      </c>
      <c r="C315" t="str">
        <f t="shared" si="4"/>
        <v>31-Dec-21</v>
      </c>
      <c r="D315" t="s">
        <v>21</v>
      </c>
      <c r="E315" t="s">
        <v>22</v>
      </c>
      <c r="F315" t="str">
        <f>"BL9YLY0"</f>
        <v>BL9YLY0</v>
      </c>
      <c r="G315" t="s">
        <v>340</v>
      </c>
      <c r="I315" t="s">
        <v>103</v>
      </c>
      <c r="J315">
        <v>0.839602791</v>
      </c>
      <c r="K315">
        <v>14998</v>
      </c>
      <c r="L315">
        <v>552036.79</v>
      </c>
      <c r="M315">
        <v>469235.43</v>
      </c>
      <c r="N315">
        <v>40.2</v>
      </c>
      <c r="O315">
        <v>602919.6</v>
      </c>
      <c r="P315">
        <v>506212.98</v>
      </c>
      <c r="Q315">
        <v>0</v>
      </c>
      <c r="R315">
        <v>0</v>
      </c>
      <c r="S315">
        <v>0.012</v>
      </c>
      <c r="T315" t="s">
        <v>25</v>
      </c>
    </row>
    <row r="316" spans="1:20" ht="15">
      <c r="A316" t="s">
        <v>19</v>
      </c>
      <c r="B316" t="s">
        <v>20</v>
      </c>
      <c r="C316" t="str">
        <f t="shared" si="4"/>
        <v>31-Dec-21</v>
      </c>
      <c r="D316" t="s">
        <v>21</v>
      </c>
      <c r="E316" t="s">
        <v>22</v>
      </c>
      <c r="F316" t="str">
        <f>"B058TZ6"</f>
        <v>B058TZ6</v>
      </c>
      <c r="G316" t="s">
        <v>341</v>
      </c>
      <c r="I316" t="s">
        <v>103</v>
      </c>
      <c r="J316">
        <v>0.839602791</v>
      </c>
      <c r="K316">
        <v>231531</v>
      </c>
      <c r="L316">
        <v>19234614.85</v>
      </c>
      <c r="M316">
        <v>15551137.25</v>
      </c>
      <c r="N316">
        <v>107.66</v>
      </c>
      <c r="O316">
        <v>24926627.46</v>
      </c>
      <c r="P316">
        <v>20928465.98</v>
      </c>
      <c r="Q316">
        <v>0</v>
      </c>
      <c r="R316">
        <v>0</v>
      </c>
      <c r="S316">
        <v>0.484</v>
      </c>
      <c r="T316" t="s">
        <v>25</v>
      </c>
    </row>
    <row r="317" spans="1:20" ht="15">
      <c r="A317" t="s">
        <v>19</v>
      </c>
      <c r="B317" t="s">
        <v>20</v>
      </c>
      <c r="C317" t="str">
        <f t="shared" si="4"/>
        <v>31-Dec-21</v>
      </c>
      <c r="D317" t="s">
        <v>21</v>
      </c>
      <c r="E317" t="s">
        <v>22</v>
      </c>
      <c r="F317" t="str">
        <f>"5226038"</f>
        <v>5226038</v>
      </c>
      <c r="G317" t="s">
        <v>342</v>
      </c>
      <c r="I317" t="s">
        <v>103</v>
      </c>
      <c r="J317">
        <v>0.839602791</v>
      </c>
      <c r="K317">
        <v>333056</v>
      </c>
      <c r="L317">
        <v>13570335.18</v>
      </c>
      <c r="M317">
        <v>10469815.75</v>
      </c>
      <c r="N317">
        <v>44.06</v>
      </c>
      <c r="O317">
        <v>14674447.36</v>
      </c>
      <c r="P317">
        <v>12320706.96</v>
      </c>
      <c r="Q317">
        <v>0</v>
      </c>
      <c r="R317">
        <v>0</v>
      </c>
      <c r="S317">
        <v>0.285</v>
      </c>
      <c r="T317" t="s">
        <v>25</v>
      </c>
    </row>
    <row r="318" spans="1:20" ht="15">
      <c r="A318" t="s">
        <v>19</v>
      </c>
      <c r="B318" t="s">
        <v>20</v>
      </c>
      <c r="C318" t="str">
        <f t="shared" si="4"/>
        <v>31-Dec-21</v>
      </c>
      <c r="D318" t="s">
        <v>21</v>
      </c>
      <c r="E318" t="s">
        <v>22</v>
      </c>
      <c r="F318" t="str">
        <f>"5671735"</f>
        <v>5671735</v>
      </c>
      <c r="G318" t="s">
        <v>343</v>
      </c>
      <c r="I318" t="s">
        <v>103</v>
      </c>
      <c r="J318">
        <v>0.839602791</v>
      </c>
      <c r="K318">
        <v>707778</v>
      </c>
      <c r="L318">
        <v>61440889.24</v>
      </c>
      <c r="M318">
        <v>47338298.14</v>
      </c>
      <c r="N318">
        <v>88.58</v>
      </c>
      <c r="O318">
        <v>62694975.24</v>
      </c>
      <c r="P318">
        <v>52638876.18</v>
      </c>
      <c r="Q318">
        <v>0</v>
      </c>
      <c r="R318">
        <v>0</v>
      </c>
      <c r="S318">
        <v>1.217</v>
      </c>
      <c r="T318" t="s">
        <v>25</v>
      </c>
    </row>
    <row r="319" spans="1:20" ht="15">
      <c r="A319" t="s">
        <v>19</v>
      </c>
      <c r="B319" t="s">
        <v>20</v>
      </c>
      <c r="C319" t="str">
        <f t="shared" si="4"/>
        <v>31-Dec-21</v>
      </c>
      <c r="D319" t="s">
        <v>21</v>
      </c>
      <c r="E319" t="s">
        <v>22</v>
      </c>
      <c r="F319" t="str">
        <f>"5843307"</f>
        <v>5843307</v>
      </c>
      <c r="G319" t="s">
        <v>344</v>
      </c>
      <c r="I319" t="s">
        <v>103</v>
      </c>
      <c r="J319">
        <v>0.839602791</v>
      </c>
      <c r="K319">
        <v>1562</v>
      </c>
      <c r="L319">
        <v>1051074.18</v>
      </c>
      <c r="M319">
        <v>899926.45</v>
      </c>
      <c r="N319">
        <v>499</v>
      </c>
      <c r="O319">
        <v>779438</v>
      </c>
      <c r="P319">
        <v>654418.32</v>
      </c>
      <c r="Q319">
        <v>0</v>
      </c>
      <c r="R319">
        <v>0</v>
      </c>
      <c r="S319">
        <v>0.015</v>
      </c>
      <c r="T319" t="s">
        <v>25</v>
      </c>
    </row>
    <row r="320" spans="1:20" ht="15">
      <c r="A320" t="s">
        <v>19</v>
      </c>
      <c r="B320" t="s">
        <v>20</v>
      </c>
      <c r="C320" t="str">
        <f t="shared" si="4"/>
        <v>31-Dec-21</v>
      </c>
      <c r="D320" t="s">
        <v>21</v>
      </c>
      <c r="E320" t="s">
        <v>22</v>
      </c>
      <c r="F320" t="str">
        <f>"5843329"</f>
        <v>5843329</v>
      </c>
      <c r="G320" t="s">
        <v>345</v>
      </c>
      <c r="I320" t="s">
        <v>103</v>
      </c>
      <c r="J320">
        <v>0.839602791</v>
      </c>
      <c r="K320">
        <v>15504</v>
      </c>
      <c r="L320">
        <v>1512866.34</v>
      </c>
      <c r="M320">
        <v>1253878.54</v>
      </c>
      <c r="N320">
        <v>595.2</v>
      </c>
      <c r="O320">
        <v>9227980.8</v>
      </c>
      <c r="P320">
        <v>7747838.43</v>
      </c>
      <c r="Q320">
        <v>0</v>
      </c>
      <c r="R320">
        <v>0</v>
      </c>
      <c r="S320">
        <v>0.179</v>
      </c>
      <c r="T320" t="s">
        <v>25</v>
      </c>
    </row>
    <row r="321" spans="1:20" ht="15">
      <c r="A321" t="s">
        <v>19</v>
      </c>
      <c r="B321" t="s">
        <v>20</v>
      </c>
      <c r="C321" t="str">
        <f t="shared" si="4"/>
        <v>31-Dec-21</v>
      </c>
      <c r="D321" t="s">
        <v>21</v>
      </c>
      <c r="E321" t="s">
        <v>22</v>
      </c>
      <c r="F321" t="str">
        <f>"BYZ2QP5"</f>
        <v>BYZ2QP5</v>
      </c>
      <c r="G321" t="s">
        <v>346</v>
      </c>
      <c r="I321" t="s">
        <v>103</v>
      </c>
      <c r="J321">
        <v>0.839602791</v>
      </c>
      <c r="K321">
        <v>15823</v>
      </c>
      <c r="L321">
        <v>1278762.79</v>
      </c>
      <c r="M321">
        <v>1056242.26</v>
      </c>
      <c r="N321">
        <v>482.4</v>
      </c>
      <c r="O321">
        <v>7633015.2</v>
      </c>
      <c r="P321">
        <v>6408700.86</v>
      </c>
      <c r="Q321">
        <v>0</v>
      </c>
      <c r="R321">
        <v>0</v>
      </c>
      <c r="S321">
        <v>0.148</v>
      </c>
      <c r="T321" t="s">
        <v>25</v>
      </c>
    </row>
    <row r="322" spans="1:20" ht="15">
      <c r="A322" t="s">
        <v>19</v>
      </c>
      <c r="B322" t="s">
        <v>20</v>
      </c>
      <c r="C322" t="str">
        <f aca="true" t="shared" si="5" ref="C322:C385">"31-Dec-21"</f>
        <v>31-Dec-21</v>
      </c>
      <c r="D322" t="s">
        <v>21</v>
      </c>
      <c r="E322" t="s">
        <v>22</v>
      </c>
      <c r="F322" t="str">
        <f>"4834108"</f>
        <v>4834108</v>
      </c>
      <c r="G322" t="s">
        <v>347</v>
      </c>
      <c r="I322" t="s">
        <v>103</v>
      </c>
      <c r="J322">
        <v>0.839602791</v>
      </c>
      <c r="K322">
        <v>344781</v>
      </c>
      <c r="L322">
        <v>23467213.04</v>
      </c>
      <c r="M322">
        <v>18278757.99</v>
      </c>
      <c r="N322">
        <v>172.46</v>
      </c>
      <c r="O322">
        <v>59460931.26</v>
      </c>
      <c r="P322">
        <v>49923563.83</v>
      </c>
      <c r="Q322">
        <v>0</v>
      </c>
      <c r="R322">
        <v>0</v>
      </c>
      <c r="S322">
        <v>1.154</v>
      </c>
      <c r="T322" t="s">
        <v>25</v>
      </c>
    </row>
    <row r="323" spans="1:20" ht="15">
      <c r="A323" t="s">
        <v>19</v>
      </c>
      <c r="B323" t="s">
        <v>20</v>
      </c>
      <c r="C323" t="str">
        <f t="shared" si="5"/>
        <v>31-Dec-21</v>
      </c>
      <c r="D323" t="s">
        <v>21</v>
      </c>
      <c r="E323" t="s">
        <v>22</v>
      </c>
      <c r="F323" t="str">
        <f>"BYT9340"</f>
        <v>BYT9340</v>
      </c>
      <c r="G323" t="s">
        <v>348</v>
      </c>
      <c r="I323" t="s">
        <v>103</v>
      </c>
      <c r="J323">
        <v>0.839602791</v>
      </c>
      <c r="K323">
        <v>55365</v>
      </c>
      <c r="L323">
        <v>2667245.74</v>
      </c>
      <c r="M323">
        <v>2341982.06</v>
      </c>
      <c r="N323">
        <v>61.42</v>
      </c>
      <c r="O323">
        <v>3400518.3</v>
      </c>
      <c r="P323">
        <v>2855084.65</v>
      </c>
      <c r="Q323">
        <v>0</v>
      </c>
      <c r="R323">
        <v>0</v>
      </c>
      <c r="S323">
        <v>0.066</v>
      </c>
      <c r="T323" t="s">
        <v>25</v>
      </c>
    </row>
    <row r="324" spans="1:20" ht="15">
      <c r="A324" t="s">
        <v>19</v>
      </c>
      <c r="B324" t="s">
        <v>20</v>
      </c>
      <c r="C324" t="str">
        <f t="shared" si="5"/>
        <v>31-Dec-21</v>
      </c>
      <c r="D324" t="s">
        <v>21</v>
      </c>
      <c r="E324" t="s">
        <v>22</v>
      </c>
      <c r="F324" t="str">
        <f>"5727973"</f>
        <v>5727973</v>
      </c>
      <c r="G324" t="s">
        <v>349</v>
      </c>
      <c r="I324" t="s">
        <v>103</v>
      </c>
      <c r="J324">
        <v>0.839602791</v>
      </c>
      <c r="K324">
        <v>490525</v>
      </c>
      <c r="L324">
        <v>44783438.83</v>
      </c>
      <c r="M324">
        <v>34929576.94</v>
      </c>
      <c r="N324">
        <v>152.68</v>
      </c>
      <c r="O324">
        <v>74893357</v>
      </c>
      <c r="P324">
        <v>62880671.55</v>
      </c>
      <c r="Q324">
        <v>0</v>
      </c>
      <c r="R324">
        <v>0</v>
      </c>
      <c r="S324">
        <v>1.453</v>
      </c>
      <c r="T324" t="s">
        <v>25</v>
      </c>
    </row>
    <row r="325" spans="1:20" ht="15">
      <c r="A325" t="s">
        <v>19</v>
      </c>
      <c r="B325" t="s">
        <v>20</v>
      </c>
      <c r="C325" t="str">
        <f t="shared" si="5"/>
        <v>31-Dec-21</v>
      </c>
      <c r="D325" t="s">
        <v>21</v>
      </c>
      <c r="E325" t="s">
        <v>22</v>
      </c>
      <c r="F325" t="str">
        <f>"BMTVQK9"</f>
        <v>BMTVQK9</v>
      </c>
      <c r="G325" t="s">
        <v>350</v>
      </c>
      <c r="I325" t="s">
        <v>103</v>
      </c>
      <c r="J325">
        <v>0.839602791</v>
      </c>
      <c r="K325">
        <v>280461</v>
      </c>
      <c r="L325">
        <v>5995890.63</v>
      </c>
      <c r="M325">
        <v>5383502.1</v>
      </c>
      <c r="N325">
        <v>22.49</v>
      </c>
      <c r="O325">
        <v>6307567.89</v>
      </c>
      <c r="P325">
        <v>5295851.6</v>
      </c>
      <c r="Q325">
        <v>0</v>
      </c>
      <c r="R325">
        <v>0</v>
      </c>
      <c r="S325">
        <v>0.122</v>
      </c>
      <c r="T325" t="s">
        <v>25</v>
      </c>
    </row>
    <row r="326" spans="1:20" ht="15">
      <c r="A326" t="s">
        <v>19</v>
      </c>
      <c r="B326" t="s">
        <v>20</v>
      </c>
      <c r="C326" t="str">
        <f t="shared" si="5"/>
        <v>31-Dec-21</v>
      </c>
      <c r="D326" t="s">
        <v>21</v>
      </c>
      <c r="E326" t="s">
        <v>22</v>
      </c>
      <c r="F326" t="str">
        <f>"B01CP21"</f>
        <v>B01CP21</v>
      </c>
      <c r="G326" t="s">
        <v>351</v>
      </c>
      <c r="I326" t="s">
        <v>103</v>
      </c>
      <c r="J326">
        <v>0.839602791</v>
      </c>
      <c r="K326">
        <v>143656</v>
      </c>
      <c r="L326">
        <v>2383498.52</v>
      </c>
      <c r="M326">
        <v>1923682.55</v>
      </c>
      <c r="N326">
        <v>21.07</v>
      </c>
      <c r="O326">
        <v>3026831.92</v>
      </c>
      <c r="P326">
        <v>2541336.53</v>
      </c>
      <c r="Q326">
        <v>0</v>
      </c>
      <c r="R326">
        <v>0</v>
      </c>
      <c r="S326">
        <v>0.059</v>
      </c>
      <c r="T326" t="s">
        <v>25</v>
      </c>
    </row>
    <row r="327" spans="1:20" ht="15">
      <c r="A327" t="s">
        <v>19</v>
      </c>
      <c r="B327" t="s">
        <v>20</v>
      </c>
      <c r="C327" t="str">
        <f t="shared" si="5"/>
        <v>31-Dec-21</v>
      </c>
      <c r="D327" t="s">
        <v>21</v>
      </c>
      <c r="E327" t="s">
        <v>22</v>
      </c>
      <c r="F327" t="str">
        <f>"BD594Y4"</f>
        <v>BD594Y4</v>
      </c>
      <c r="G327" t="s">
        <v>352</v>
      </c>
      <c r="I327" t="s">
        <v>103</v>
      </c>
      <c r="J327">
        <v>0.839602791</v>
      </c>
      <c r="K327">
        <v>183072</v>
      </c>
      <c r="L327">
        <v>7015056.22</v>
      </c>
      <c r="M327">
        <v>6198008.7</v>
      </c>
      <c r="N327">
        <v>65.82</v>
      </c>
      <c r="O327">
        <v>12049799.04</v>
      </c>
      <c r="P327">
        <v>10117044.9</v>
      </c>
      <c r="Q327">
        <v>0</v>
      </c>
      <c r="R327">
        <v>0</v>
      </c>
      <c r="S327">
        <v>0.234</v>
      </c>
      <c r="T327" t="s">
        <v>25</v>
      </c>
    </row>
    <row r="328" spans="1:20" ht="15">
      <c r="A328" t="s">
        <v>19</v>
      </c>
      <c r="B328" t="s">
        <v>20</v>
      </c>
      <c r="C328" t="str">
        <f t="shared" si="5"/>
        <v>31-Dec-21</v>
      </c>
      <c r="D328" t="s">
        <v>21</v>
      </c>
      <c r="E328" t="s">
        <v>22</v>
      </c>
      <c r="F328" t="str">
        <f>"BYY7VY5"</f>
        <v>BYY7VY5</v>
      </c>
      <c r="G328" t="s">
        <v>353</v>
      </c>
      <c r="I328" t="s">
        <v>103</v>
      </c>
      <c r="J328">
        <v>0.839602791</v>
      </c>
      <c r="K328">
        <v>80817</v>
      </c>
      <c r="L328">
        <v>2399963.95</v>
      </c>
      <c r="M328">
        <v>2124870.64</v>
      </c>
      <c r="N328">
        <v>40.78</v>
      </c>
      <c r="O328">
        <v>3295717.26</v>
      </c>
      <c r="P328">
        <v>2767093.41</v>
      </c>
      <c r="Q328">
        <v>0</v>
      </c>
      <c r="R328">
        <v>0</v>
      </c>
      <c r="S328">
        <v>0.064</v>
      </c>
      <c r="T328" t="s">
        <v>25</v>
      </c>
    </row>
    <row r="329" spans="1:20" ht="15">
      <c r="A329" t="s">
        <v>19</v>
      </c>
      <c r="B329" t="s">
        <v>20</v>
      </c>
      <c r="C329" t="str">
        <f t="shared" si="5"/>
        <v>31-Dec-21</v>
      </c>
      <c r="D329" t="s">
        <v>21</v>
      </c>
      <c r="E329" t="s">
        <v>22</v>
      </c>
      <c r="F329" t="str">
        <f>"7251470"</f>
        <v>7251470</v>
      </c>
      <c r="G329" t="s">
        <v>354</v>
      </c>
      <c r="I329" t="s">
        <v>103</v>
      </c>
      <c r="J329">
        <v>0.839602791</v>
      </c>
      <c r="K329">
        <v>1474531</v>
      </c>
      <c r="L329">
        <v>5929275.66</v>
      </c>
      <c r="M329">
        <v>4585001.13</v>
      </c>
      <c r="N329">
        <v>5.3</v>
      </c>
      <c r="O329">
        <v>7815014.3</v>
      </c>
      <c r="P329">
        <v>6561507.82</v>
      </c>
      <c r="Q329">
        <v>0</v>
      </c>
      <c r="R329">
        <v>0</v>
      </c>
      <c r="S329">
        <v>0.152</v>
      </c>
      <c r="T329" t="s">
        <v>25</v>
      </c>
    </row>
    <row r="330" spans="1:20" ht="15">
      <c r="A330" t="s">
        <v>19</v>
      </c>
      <c r="B330" t="s">
        <v>20</v>
      </c>
      <c r="C330" t="str">
        <f t="shared" si="5"/>
        <v>31-Dec-21</v>
      </c>
      <c r="D330" t="s">
        <v>21</v>
      </c>
      <c r="E330" t="s">
        <v>22</v>
      </c>
      <c r="F330" t="str">
        <f>"5966516"</f>
        <v>5966516</v>
      </c>
      <c r="G330" t="s">
        <v>355</v>
      </c>
      <c r="I330" t="s">
        <v>103</v>
      </c>
      <c r="J330">
        <v>0.839602791</v>
      </c>
      <c r="K330">
        <v>508998</v>
      </c>
      <c r="L330">
        <v>18798273.97</v>
      </c>
      <c r="M330">
        <v>14535022.07</v>
      </c>
      <c r="N330">
        <v>30.205</v>
      </c>
      <c r="O330">
        <v>15374284.59</v>
      </c>
      <c r="P330">
        <v>12908292.25</v>
      </c>
      <c r="Q330">
        <v>0</v>
      </c>
      <c r="R330">
        <v>0</v>
      </c>
      <c r="S330">
        <v>0.298</v>
      </c>
      <c r="T330" t="s">
        <v>25</v>
      </c>
    </row>
    <row r="331" spans="1:20" ht="15">
      <c r="A331" t="s">
        <v>19</v>
      </c>
      <c r="B331" t="s">
        <v>20</v>
      </c>
      <c r="C331" t="str">
        <f t="shared" si="5"/>
        <v>31-Dec-21</v>
      </c>
      <c r="D331" t="s">
        <v>21</v>
      </c>
      <c r="E331" t="s">
        <v>22</v>
      </c>
      <c r="F331" t="str">
        <f>"7062713"</f>
        <v>7062713</v>
      </c>
      <c r="G331" t="s">
        <v>356</v>
      </c>
      <c r="I331" t="s">
        <v>103</v>
      </c>
      <c r="J331">
        <v>0.839602791</v>
      </c>
      <c r="K331">
        <v>57299</v>
      </c>
      <c r="L331">
        <v>5082402.15</v>
      </c>
      <c r="M331">
        <v>3874783.07</v>
      </c>
      <c r="N331">
        <v>77.06</v>
      </c>
      <c r="O331">
        <v>4415460.94</v>
      </c>
      <c r="P331">
        <v>3707233.33</v>
      </c>
      <c r="Q331">
        <v>0</v>
      </c>
      <c r="R331">
        <v>0</v>
      </c>
      <c r="S331">
        <v>0.086</v>
      </c>
      <c r="T331" t="s">
        <v>25</v>
      </c>
    </row>
    <row r="332" spans="1:20" ht="15">
      <c r="A332" t="s">
        <v>19</v>
      </c>
      <c r="B332" t="s">
        <v>20</v>
      </c>
      <c r="C332" t="str">
        <f t="shared" si="5"/>
        <v>31-Dec-21</v>
      </c>
      <c r="D332" t="s">
        <v>21</v>
      </c>
      <c r="E332" t="s">
        <v>22</v>
      </c>
      <c r="F332" t="str">
        <f>"4820301"</f>
        <v>4820301</v>
      </c>
      <c r="G332" t="s">
        <v>357</v>
      </c>
      <c r="I332" t="s">
        <v>103</v>
      </c>
      <c r="J332">
        <v>0.839602791</v>
      </c>
      <c r="K332">
        <v>10084</v>
      </c>
      <c r="L332">
        <v>1632245.73</v>
      </c>
      <c r="M332">
        <v>1406520.54</v>
      </c>
      <c r="N332">
        <v>432</v>
      </c>
      <c r="O332">
        <v>4356288</v>
      </c>
      <c r="P332">
        <v>3657551.56</v>
      </c>
      <c r="Q332">
        <v>0</v>
      </c>
      <c r="R332">
        <v>0</v>
      </c>
      <c r="S332">
        <v>0.085</v>
      </c>
      <c r="T332" t="s">
        <v>25</v>
      </c>
    </row>
    <row r="333" spans="1:20" ht="15">
      <c r="A333" t="s">
        <v>19</v>
      </c>
      <c r="B333" t="s">
        <v>20</v>
      </c>
      <c r="C333" t="str">
        <f t="shared" si="5"/>
        <v>31-Dec-21</v>
      </c>
      <c r="D333" t="s">
        <v>21</v>
      </c>
      <c r="E333" t="s">
        <v>22</v>
      </c>
      <c r="F333" t="str">
        <f>"4821100"</f>
        <v>4821100</v>
      </c>
      <c r="G333" t="s">
        <v>358</v>
      </c>
      <c r="I333" t="s">
        <v>103</v>
      </c>
      <c r="J333">
        <v>0.839602791</v>
      </c>
      <c r="K333">
        <v>44851</v>
      </c>
      <c r="L333">
        <v>4909576.45</v>
      </c>
      <c r="M333">
        <v>3791184.49</v>
      </c>
      <c r="N333">
        <v>102.2</v>
      </c>
      <c r="O333">
        <v>4583772.2</v>
      </c>
      <c r="P333">
        <v>3848547.93</v>
      </c>
      <c r="Q333">
        <v>0</v>
      </c>
      <c r="R333">
        <v>0</v>
      </c>
      <c r="S333">
        <v>0.089</v>
      </c>
      <c r="T333" t="s">
        <v>25</v>
      </c>
    </row>
    <row r="334" spans="1:20" ht="15">
      <c r="A334" t="s">
        <v>19</v>
      </c>
      <c r="B334" t="s">
        <v>20</v>
      </c>
      <c r="C334" t="str">
        <f t="shared" si="5"/>
        <v>31-Dec-21</v>
      </c>
      <c r="D334" t="s">
        <v>21</v>
      </c>
      <c r="E334" t="s">
        <v>22</v>
      </c>
      <c r="F334" t="str">
        <f>"BMD8KX7"</f>
        <v>BMD8KX7</v>
      </c>
      <c r="G334" t="s">
        <v>359</v>
      </c>
      <c r="I334" t="s">
        <v>103</v>
      </c>
      <c r="J334">
        <v>0.839602791</v>
      </c>
      <c r="K334">
        <v>1344147</v>
      </c>
      <c r="L334">
        <v>16251829.31</v>
      </c>
      <c r="M334">
        <v>13527663.28</v>
      </c>
      <c r="N334">
        <v>16.686</v>
      </c>
      <c r="O334">
        <v>22428436.84</v>
      </c>
      <c r="P334">
        <v>18830978.16</v>
      </c>
      <c r="Q334">
        <v>0</v>
      </c>
      <c r="R334">
        <v>0</v>
      </c>
      <c r="S334">
        <v>0.435</v>
      </c>
      <c r="T334" t="s">
        <v>25</v>
      </c>
    </row>
    <row r="335" spans="1:20" ht="15">
      <c r="A335" t="s">
        <v>19</v>
      </c>
      <c r="B335" t="s">
        <v>20</v>
      </c>
      <c r="C335" t="str">
        <f t="shared" si="5"/>
        <v>31-Dec-21</v>
      </c>
      <c r="D335" t="s">
        <v>21</v>
      </c>
      <c r="E335" t="s">
        <v>22</v>
      </c>
      <c r="F335" t="str">
        <f>"5072673"</f>
        <v>5072673</v>
      </c>
      <c r="G335" t="s">
        <v>360</v>
      </c>
      <c r="I335" t="s">
        <v>103</v>
      </c>
      <c r="J335">
        <v>0.839602791</v>
      </c>
      <c r="K335">
        <v>375257</v>
      </c>
      <c r="L335">
        <v>4160380.18</v>
      </c>
      <c r="M335">
        <v>3289598.77</v>
      </c>
      <c r="N335">
        <v>16.14</v>
      </c>
      <c r="O335">
        <v>6056647.98</v>
      </c>
      <c r="P335">
        <v>5085178.55</v>
      </c>
      <c r="Q335">
        <v>0</v>
      </c>
      <c r="R335">
        <v>0</v>
      </c>
      <c r="S335">
        <v>0.118</v>
      </c>
      <c r="T335" t="s">
        <v>25</v>
      </c>
    </row>
    <row r="336" spans="1:20" ht="15">
      <c r="A336" t="s">
        <v>19</v>
      </c>
      <c r="B336" t="s">
        <v>20</v>
      </c>
      <c r="C336" t="str">
        <f t="shared" si="5"/>
        <v>31-Dec-21</v>
      </c>
      <c r="D336" t="s">
        <v>21</v>
      </c>
      <c r="E336" t="s">
        <v>22</v>
      </c>
      <c r="F336" t="str">
        <f>"B3B8D04"</f>
        <v>B3B8D04</v>
      </c>
      <c r="G336" t="s">
        <v>361</v>
      </c>
      <c r="I336" t="s">
        <v>103</v>
      </c>
      <c r="J336">
        <v>0.839602791</v>
      </c>
      <c r="K336">
        <v>250086</v>
      </c>
      <c r="L336">
        <v>3939366.15</v>
      </c>
      <c r="M336">
        <v>3050825.07</v>
      </c>
      <c r="N336">
        <v>19.81</v>
      </c>
      <c r="O336">
        <v>4954203.66</v>
      </c>
      <c r="P336">
        <v>4159563.22</v>
      </c>
      <c r="Q336">
        <v>0</v>
      </c>
      <c r="R336">
        <v>0</v>
      </c>
      <c r="S336">
        <v>0.096</v>
      </c>
      <c r="T336" t="s">
        <v>25</v>
      </c>
    </row>
    <row r="337" spans="1:20" ht="15">
      <c r="A337" t="s">
        <v>19</v>
      </c>
      <c r="B337" t="s">
        <v>20</v>
      </c>
      <c r="C337" t="str">
        <f t="shared" si="5"/>
        <v>31-Dec-21</v>
      </c>
      <c r="D337" t="s">
        <v>21</v>
      </c>
      <c r="E337" t="s">
        <v>22</v>
      </c>
      <c r="F337" t="str">
        <f>"B1JB4K8"</f>
        <v>B1JB4K8</v>
      </c>
      <c r="G337" t="s">
        <v>362</v>
      </c>
      <c r="I337" t="s">
        <v>103</v>
      </c>
      <c r="J337">
        <v>0.839602791</v>
      </c>
      <c r="K337">
        <v>84035</v>
      </c>
      <c r="L337">
        <v>5450425.6</v>
      </c>
      <c r="M337">
        <v>4282108.49</v>
      </c>
      <c r="N337">
        <v>130.3</v>
      </c>
      <c r="O337">
        <v>10949760.5</v>
      </c>
      <c r="P337">
        <v>9193449.47</v>
      </c>
      <c r="Q337">
        <v>0</v>
      </c>
      <c r="R337">
        <v>0</v>
      </c>
      <c r="S337">
        <v>0.212</v>
      </c>
      <c r="T337" t="s">
        <v>25</v>
      </c>
    </row>
    <row r="338" spans="1:20" ht="15">
      <c r="A338" t="s">
        <v>19</v>
      </c>
      <c r="B338" t="s">
        <v>20</v>
      </c>
      <c r="C338" t="str">
        <f t="shared" si="5"/>
        <v>31-Dec-21</v>
      </c>
      <c r="D338" t="s">
        <v>21</v>
      </c>
      <c r="E338" t="s">
        <v>22</v>
      </c>
      <c r="F338" t="str">
        <f>"B8F0TD6"</f>
        <v>B8F0TD6</v>
      </c>
      <c r="G338" t="s">
        <v>363</v>
      </c>
      <c r="I338" t="s">
        <v>103</v>
      </c>
      <c r="J338">
        <v>0.839602791</v>
      </c>
      <c r="K338">
        <v>37465</v>
      </c>
      <c r="L338">
        <v>1137647.42</v>
      </c>
      <c r="M338">
        <v>895946.9</v>
      </c>
      <c r="N338">
        <v>42.54</v>
      </c>
      <c r="O338">
        <v>1593761.1</v>
      </c>
      <c r="P338">
        <v>1338126.27</v>
      </c>
      <c r="Q338">
        <v>0</v>
      </c>
      <c r="R338">
        <v>0</v>
      </c>
      <c r="S338">
        <v>0.031</v>
      </c>
      <c r="T338" t="s">
        <v>25</v>
      </c>
    </row>
    <row r="339" spans="1:20" ht="15">
      <c r="A339" t="s">
        <v>19</v>
      </c>
      <c r="B339" t="s">
        <v>20</v>
      </c>
      <c r="C339" t="str">
        <f t="shared" si="5"/>
        <v>31-Dec-21</v>
      </c>
      <c r="D339" t="s">
        <v>21</v>
      </c>
      <c r="E339" t="s">
        <v>22</v>
      </c>
      <c r="F339" t="str">
        <f>"BJ7WGS1"</f>
        <v>BJ7WGS1</v>
      </c>
      <c r="G339" t="s">
        <v>364</v>
      </c>
      <c r="I339" t="s">
        <v>103</v>
      </c>
      <c r="J339">
        <v>0.839602791</v>
      </c>
      <c r="K339">
        <v>106531</v>
      </c>
      <c r="L339">
        <v>3659139.53</v>
      </c>
      <c r="M339">
        <v>3227828.8</v>
      </c>
      <c r="N339">
        <v>11.82</v>
      </c>
      <c r="O339">
        <v>1259196.42</v>
      </c>
      <c r="P339">
        <v>1057224.83</v>
      </c>
      <c r="Q339">
        <v>0</v>
      </c>
      <c r="R339">
        <v>0</v>
      </c>
      <c r="S339">
        <v>0.024</v>
      </c>
      <c r="T339" t="s">
        <v>25</v>
      </c>
    </row>
    <row r="340" spans="1:20" ht="15">
      <c r="A340" t="s">
        <v>19</v>
      </c>
      <c r="B340" t="s">
        <v>20</v>
      </c>
      <c r="C340" t="str">
        <f t="shared" si="5"/>
        <v>31-Dec-21</v>
      </c>
      <c r="D340" t="s">
        <v>21</v>
      </c>
      <c r="E340" t="s">
        <v>22</v>
      </c>
      <c r="F340" t="str">
        <f>"BYW2H44"</f>
        <v>BYW2H44</v>
      </c>
      <c r="G340" t="s">
        <v>365</v>
      </c>
      <c r="I340" t="s">
        <v>103</v>
      </c>
      <c r="J340">
        <v>0.839602791</v>
      </c>
      <c r="K340">
        <v>300960</v>
      </c>
      <c r="L340">
        <v>6252611.46</v>
      </c>
      <c r="M340">
        <v>5109327.8</v>
      </c>
      <c r="N340">
        <v>5.234</v>
      </c>
      <c r="O340">
        <v>1575224.64</v>
      </c>
      <c r="P340">
        <v>1322563</v>
      </c>
      <c r="Q340">
        <v>0</v>
      </c>
      <c r="R340">
        <v>0</v>
      </c>
      <c r="S340">
        <v>0.031</v>
      </c>
      <c r="T340" t="s">
        <v>25</v>
      </c>
    </row>
    <row r="341" spans="1:20" ht="15">
      <c r="A341" t="s">
        <v>19</v>
      </c>
      <c r="B341" t="s">
        <v>20</v>
      </c>
      <c r="C341" t="str">
        <f t="shared" si="5"/>
        <v>31-Dec-21</v>
      </c>
      <c r="D341" t="s">
        <v>21</v>
      </c>
      <c r="E341" t="s">
        <v>22</v>
      </c>
      <c r="F341" t="str">
        <f>"7634394"</f>
        <v>7634394</v>
      </c>
      <c r="G341" t="s">
        <v>366</v>
      </c>
      <c r="I341" t="s">
        <v>103</v>
      </c>
      <c r="J341">
        <v>0.839602791</v>
      </c>
      <c r="K341">
        <v>7640344</v>
      </c>
      <c r="L341">
        <v>6462316.4</v>
      </c>
      <c r="M341">
        <v>4947257.86</v>
      </c>
      <c r="N341">
        <v>0.4342</v>
      </c>
      <c r="O341">
        <v>3317437.36</v>
      </c>
      <c r="P341">
        <v>2785329.67</v>
      </c>
      <c r="Q341">
        <v>0</v>
      </c>
      <c r="R341">
        <v>0</v>
      </c>
      <c r="S341">
        <v>0.064</v>
      </c>
      <c r="T341" t="s">
        <v>25</v>
      </c>
    </row>
    <row r="342" spans="1:20" ht="15">
      <c r="A342" t="s">
        <v>19</v>
      </c>
      <c r="B342" t="s">
        <v>20</v>
      </c>
      <c r="C342" t="str">
        <f t="shared" si="5"/>
        <v>31-Dec-21</v>
      </c>
      <c r="D342" t="s">
        <v>21</v>
      </c>
      <c r="E342" t="s">
        <v>22</v>
      </c>
      <c r="F342" t="str">
        <f>"7634402"</f>
        <v>7634402</v>
      </c>
      <c r="G342" t="s">
        <v>367</v>
      </c>
      <c r="I342" t="s">
        <v>103</v>
      </c>
      <c r="J342">
        <v>0.839602791</v>
      </c>
      <c r="K342">
        <v>3902439</v>
      </c>
      <c r="L342">
        <v>3092504.06</v>
      </c>
      <c r="M342">
        <v>2327273.76</v>
      </c>
      <c r="N342">
        <v>0.4178</v>
      </c>
      <c r="O342">
        <v>1630439.01</v>
      </c>
      <c r="P342">
        <v>1368921.14</v>
      </c>
      <c r="Q342">
        <v>0</v>
      </c>
      <c r="R342">
        <v>0</v>
      </c>
      <c r="S342">
        <v>0.032</v>
      </c>
      <c r="T342" t="s">
        <v>25</v>
      </c>
    </row>
    <row r="343" spans="1:20" ht="15">
      <c r="A343" t="s">
        <v>19</v>
      </c>
      <c r="B343" t="s">
        <v>20</v>
      </c>
      <c r="C343" t="str">
        <f t="shared" si="5"/>
        <v>31-Dec-21</v>
      </c>
      <c r="D343" t="s">
        <v>21</v>
      </c>
      <c r="E343" t="s">
        <v>22</v>
      </c>
      <c r="F343" t="str">
        <f>"B7VG6L8"</f>
        <v>B7VG6L8</v>
      </c>
      <c r="G343" t="s">
        <v>368</v>
      </c>
      <c r="I343" t="s">
        <v>103</v>
      </c>
      <c r="J343">
        <v>0.839602791</v>
      </c>
      <c r="K343">
        <v>432552</v>
      </c>
      <c r="L343">
        <v>2082869.07</v>
      </c>
      <c r="M343">
        <v>1572624.79</v>
      </c>
      <c r="N343">
        <v>2.441</v>
      </c>
      <c r="O343">
        <v>1055859.43</v>
      </c>
      <c r="P343">
        <v>886502.52</v>
      </c>
      <c r="Q343">
        <v>0</v>
      </c>
      <c r="R343">
        <v>0</v>
      </c>
      <c r="S343">
        <v>0.02</v>
      </c>
      <c r="T343" t="s">
        <v>25</v>
      </c>
    </row>
    <row r="344" spans="1:20" ht="15">
      <c r="A344" t="s">
        <v>19</v>
      </c>
      <c r="B344" t="s">
        <v>20</v>
      </c>
      <c r="C344" t="str">
        <f t="shared" si="5"/>
        <v>31-Dec-21</v>
      </c>
      <c r="D344" t="s">
        <v>21</v>
      </c>
      <c r="E344" t="s">
        <v>22</v>
      </c>
      <c r="F344" t="str">
        <f>"5732524"</f>
        <v>5732524</v>
      </c>
      <c r="G344" t="s">
        <v>369</v>
      </c>
      <c r="I344" t="s">
        <v>103</v>
      </c>
      <c r="J344">
        <v>0.839602791</v>
      </c>
      <c r="K344">
        <v>3421491</v>
      </c>
      <c r="L344">
        <v>27528175.39</v>
      </c>
      <c r="M344">
        <v>21370751.63</v>
      </c>
      <c r="N344">
        <v>3.852</v>
      </c>
      <c r="O344">
        <v>13179583.33</v>
      </c>
      <c r="P344">
        <v>11065614.95</v>
      </c>
      <c r="Q344">
        <v>0</v>
      </c>
      <c r="R344">
        <v>0</v>
      </c>
      <c r="S344">
        <v>0.256</v>
      </c>
      <c r="T344" t="s">
        <v>25</v>
      </c>
    </row>
    <row r="345" spans="1:20" ht="15">
      <c r="A345" t="s">
        <v>19</v>
      </c>
      <c r="B345" t="s">
        <v>20</v>
      </c>
      <c r="C345" t="str">
        <f t="shared" si="5"/>
        <v>31-Dec-21</v>
      </c>
      <c r="D345" t="s">
        <v>21</v>
      </c>
      <c r="E345" t="s">
        <v>22</v>
      </c>
      <c r="F345" t="str">
        <f>"4635088"</f>
        <v>4635088</v>
      </c>
      <c r="G345" t="s">
        <v>370</v>
      </c>
      <c r="I345" t="s">
        <v>103</v>
      </c>
      <c r="J345">
        <v>0.839602791</v>
      </c>
      <c r="K345">
        <v>78100</v>
      </c>
      <c r="L345">
        <v>458286.73</v>
      </c>
      <c r="M345">
        <v>372803.57</v>
      </c>
      <c r="N345">
        <v>7.62</v>
      </c>
      <c r="O345">
        <v>595122</v>
      </c>
      <c r="P345">
        <v>499666.09</v>
      </c>
      <c r="Q345">
        <v>0</v>
      </c>
      <c r="R345">
        <v>0</v>
      </c>
      <c r="S345">
        <v>0.012</v>
      </c>
      <c r="T345" t="s">
        <v>25</v>
      </c>
    </row>
    <row r="346" spans="1:20" ht="15">
      <c r="A346" t="s">
        <v>19</v>
      </c>
      <c r="B346" t="s">
        <v>20</v>
      </c>
      <c r="C346" t="str">
        <f t="shared" si="5"/>
        <v>31-Dec-21</v>
      </c>
      <c r="D346" t="s">
        <v>21</v>
      </c>
      <c r="E346" t="s">
        <v>22</v>
      </c>
      <c r="F346" t="str">
        <f>"B0LKSK4"</f>
        <v>B0LKSK4</v>
      </c>
      <c r="G346" t="s">
        <v>371</v>
      </c>
      <c r="I346" t="s">
        <v>103</v>
      </c>
      <c r="J346">
        <v>0.839602791</v>
      </c>
      <c r="K346">
        <v>27881</v>
      </c>
      <c r="L346">
        <v>1391840.31</v>
      </c>
      <c r="M346">
        <v>1055649.12</v>
      </c>
      <c r="N346">
        <v>32.06</v>
      </c>
      <c r="O346">
        <v>893864.86</v>
      </c>
      <c r="P346">
        <v>750491.43</v>
      </c>
      <c r="Q346">
        <v>0</v>
      </c>
      <c r="R346">
        <v>0</v>
      </c>
      <c r="S346">
        <v>0.017</v>
      </c>
      <c r="T346" t="s">
        <v>25</v>
      </c>
    </row>
    <row r="347" spans="1:20" ht="15">
      <c r="A347" t="s">
        <v>19</v>
      </c>
      <c r="B347" t="s">
        <v>20</v>
      </c>
      <c r="C347" t="str">
        <f t="shared" si="5"/>
        <v>31-Dec-21</v>
      </c>
      <c r="D347" t="s">
        <v>21</v>
      </c>
      <c r="E347" t="s">
        <v>22</v>
      </c>
      <c r="F347" t="str">
        <f>"5999330"</f>
        <v>5999330</v>
      </c>
      <c r="G347" t="s">
        <v>372</v>
      </c>
      <c r="I347" t="s">
        <v>103</v>
      </c>
      <c r="J347">
        <v>0.839602791</v>
      </c>
      <c r="K347">
        <v>38314</v>
      </c>
      <c r="L347">
        <v>4107301.34</v>
      </c>
      <c r="M347">
        <v>3411435.67</v>
      </c>
      <c r="N347">
        <v>392</v>
      </c>
      <c r="O347">
        <v>15019088</v>
      </c>
      <c r="P347">
        <v>12610068.2</v>
      </c>
      <c r="Q347">
        <v>0</v>
      </c>
      <c r="R347">
        <v>0</v>
      </c>
      <c r="S347">
        <v>0.291</v>
      </c>
      <c r="T347" t="s">
        <v>25</v>
      </c>
    </row>
    <row r="348" spans="1:20" ht="15">
      <c r="A348" t="s">
        <v>19</v>
      </c>
      <c r="B348" t="s">
        <v>20</v>
      </c>
      <c r="C348" t="str">
        <f t="shared" si="5"/>
        <v>31-Dec-21</v>
      </c>
      <c r="D348" t="s">
        <v>21</v>
      </c>
      <c r="E348" t="s">
        <v>22</v>
      </c>
      <c r="F348" t="str">
        <f>"7538515"</f>
        <v>7538515</v>
      </c>
      <c r="G348" t="s">
        <v>373</v>
      </c>
      <c r="I348" t="s">
        <v>103</v>
      </c>
      <c r="J348">
        <v>0.839602791</v>
      </c>
      <c r="K348">
        <v>327018</v>
      </c>
      <c r="L348">
        <v>4322311.77</v>
      </c>
      <c r="M348">
        <v>3319416.91</v>
      </c>
      <c r="N348">
        <v>9.21</v>
      </c>
      <c r="O348">
        <v>3011835.78</v>
      </c>
      <c r="P348">
        <v>2528745.73</v>
      </c>
      <c r="Q348">
        <v>0</v>
      </c>
      <c r="R348">
        <v>0</v>
      </c>
      <c r="S348">
        <v>0.058</v>
      </c>
      <c r="T348" t="s">
        <v>25</v>
      </c>
    </row>
    <row r="349" spans="1:20" ht="15">
      <c r="A349" t="s">
        <v>19</v>
      </c>
      <c r="B349" t="s">
        <v>20</v>
      </c>
      <c r="C349" t="str">
        <f t="shared" si="5"/>
        <v>31-Dec-21</v>
      </c>
      <c r="D349" t="s">
        <v>21</v>
      </c>
      <c r="E349" t="s">
        <v>22</v>
      </c>
      <c r="F349" t="str">
        <f>"B01BN57"</f>
        <v>B01BN57</v>
      </c>
      <c r="G349" t="s">
        <v>374</v>
      </c>
      <c r="I349" t="s">
        <v>103</v>
      </c>
      <c r="J349">
        <v>0.839602791</v>
      </c>
      <c r="K349">
        <v>958185</v>
      </c>
      <c r="L349">
        <v>4420505.11</v>
      </c>
      <c r="M349">
        <v>3448294.42</v>
      </c>
      <c r="N349">
        <v>7.114</v>
      </c>
      <c r="O349">
        <v>6816528.09</v>
      </c>
      <c r="P349">
        <v>5723176.01</v>
      </c>
      <c r="Q349">
        <v>0</v>
      </c>
      <c r="R349">
        <v>0</v>
      </c>
      <c r="S349">
        <v>0.132</v>
      </c>
      <c r="T349" t="s">
        <v>25</v>
      </c>
    </row>
    <row r="350" spans="1:20" ht="15">
      <c r="A350" t="s">
        <v>19</v>
      </c>
      <c r="B350" t="s">
        <v>20</v>
      </c>
      <c r="C350" t="str">
        <f t="shared" si="5"/>
        <v>31-Dec-21</v>
      </c>
      <c r="D350" t="s">
        <v>21</v>
      </c>
      <c r="E350" t="s">
        <v>22</v>
      </c>
      <c r="F350" t="str">
        <f>"4162791"</f>
        <v>4162791</v>
      </c>
      <c r="G350" t="s">
        <v>375</v>
      </c>
      <c r="I350" t="s">
        <v>103</v>
      </c>
      <c r="J350">
        <v>0.839602791</v>
      </c>
      <c r="K350">
        <v>64602</v>
      </c>
      <c r="L350">
        <v>4516033.87</v>
      </c>
      <c r="M350">
        <v>3589186.74</v>
      </c>
      <c r="N350">
        <v>74.8</v>
      </c>
      <c r="O350">
        <v>4832229.6</v>
      </c>
      <c r="P350">
        <v>4057153.46</v>
      </c>
      <c r="Q350">
        <v>0</v>
      </c>
      <c r="R350">
        <v>0</v>
      </c>
      <c r="S350">
        <v>0.094</v>
      </c>
      <c r="T350" t="s">
        <v>25</v>
      </c>
    </row>
    <row r="351" spans="1:20" ht="15">
      <c r="A351" t="s">
        <v>19</v>
      </c>
      <c r="B351" t="s">
        <v>20</v>
      </c>
      <c r="C351" t="str">
        <f t="shared" si="5"/>
        <v>31-Dec-21</v>
      </c>
      <c r="D351" t="s">
        <v>21</v>
      </c>
      <c r="E351" t="s">
        <v>22</v>
      </c>
      <c r="F351" t="str">
        <f>"B15C557"</f>
        <v>B15C557</v>
      </c>
      <c r="G351" t="s">
        <v>376</v>
      </c>
      <c r="I351" t="s">
        <v>103</v>
      </c>
      <c r="J351">
        <v>0.839602791</v>
      </c>
      <c r="K351">
        <v>1580139</v>
      </c>
      <c r="L351">
        <v>72118700.8</v>
      </c>
      <c r="M351">
        <v>57338482.38</v>
      </c>
      <c r="N351">
        <v>44.63</v>
      </c>
      <c r="O351">
        <v>70521603.57</v>
      </c>
      <c r="P351">
        <v>59210135.17</v>
      </c>
      <c r="Q351">
        <v>0</v>
      </c>
      <c r="R351">
        <v>0</v>
      </c>
      <c r="S351">
        <v>1.368</v>
      </c>
      <c r="T351" t="s">
        <v>25</v>
      </c>
    </row>
    <row r="352" spans="1:20" ht="15">
      <c r="A352" t="s">
        <v>19</v>
      </c>
      <c r="B352" t="s">
        <v>20</v>
      </c>
      <c r="C352" t="str">
        <f t="shared" si="5"/>
        <v>31-Dec-21</v>
      </c>
      <c r="D352" t="s">
        <v>21</v>
      </c>
      <c r="E352" t="s">
        <v>22</v>
      </c>
      <c r="F352" t="str">
        <f>"BKF1H51"</f>
        <v>BKF1H51</v>
      </c>
      <c r="G352" t="s">
        <v>377</v>
      </c>
      <c r="I352" t="s">
        <v>103</v>
      </c>
      <c r="J352">
        <v>0.839602791</v>
      </c>
      <c r="K352">
        <v>32370</v>
      </c>
      <c r="L352">
        <v>805896.65</v>
      </c>
      <c r="M352">
        <v>689759.11</v>
      </c>
      <c r="N352">
        <v>22.14</v>
      </c>
      <c r="O352">
        <v>716671.8</v>
      </c>
      <c r="P352">
        <v>601719.64</v>
      </c>
      <c r="Q352">
        <v>0</v>
      </c>
      <c r="R352">
        <v>0</v>
      </c>
      <c r="S352">
        <v>0.014</v>
      </c>
      <c r="T352" t="s">
        <v>25</v>
      </c>
    </row>
    <row r="353" spans="1:20" ht="15">
      <c r="A353" t="s">
        <v>19</v>
      </c>
      <c r="B353" t="s">
        <v>20</v>
      </c>
      <c r="C353" t="str">
        <f t="shared" si="5"/>
        <v>31-Dec-21</v>
      </c>
      <c r="D353" t="s">
        <v>21</v>
      </c>
      <c r="E353" t="s">
        <v>22</v>
      </c>
      <c r="F353" t="str">
        <f>"5596991"</f>
        <v>5596991</v>
      </c>
      <c r="G353" t="s">
        <v>378</v>
      </c>
      <c r="I353" t="s">
        <v>103</v>
      </c>
      <c r="J353">
        <v>0.839602791</v>
      </c>
      <c r="K353">
        <v>80942</v>
      </c>
      <c r="L353">
        <v>5605726.71</v>
      </c>
      <c r="M353">
        <v>4337581.45</v>
      </c>
      <c r="N353">
        <v>100.35</v>
      </c>
      <c r="O353">
        <v>8122529.7</v>
      </c>
      <c r="P353">
        <v>6819698.6</v>
      </c>
      <c r="Q353">
        <v>0</v>
      </c>
      <c r="R353">
        <v>0</v>
      </c>
      <c r="S353">
        <v>0.158</v>
      </c>
      <c r="T353" t="s">
        <v>25</v>
      </c>
    </row>
    <row r="354" spans="1:20" ht="15">
      <c r="A354" t="s">
        <v>19</v>
      </c>
      <c r="B354" t="s">
        <v>20</v>
      </c>
      <c r="C354" t="str">
        <f t="shared" si="5"/>
        <v>31-Dec-21</v>
      </c>
      <c r="D354" t="s">
        <v>21</v>
      </c>
      <c r="E354" t="s">
        <v>22</v>
      </c>
      <c r="F354" t="str">
        <f>"5051252"</f>
        <v>5051252</v>
      </c>
      <c r="G354" t="s">
        <v>379</v>
      </c>
      <c r="I354" t="s">
        <v>103</v>
      </c>
      <c r="J354">
        <v>0.839602791</v>
      </c>
      <c r="K354">
        <v>350335</v>
      </c>
      <c r="L354">
        <v>7273578.96</v>
      </c>
      <c r="M354">
        <v>5771134.15</v>
      </c>
      <c r="N354">
        <v>33.46</v>
      </c>
      <c r="O354">
        <v>11722209.1</v>
      </c>
      <c r="P354">
        <v>9841999.47</v>
      </c>
      <c r="Q354">
        <v>0</v>
      </c>
      <c r="R354">
        <v>0</v>
      </c>
      <c r="S354">
        <v>0.227</v>
      </c>
      <c r="T354" t="s">
        <v>25</v>
      </c>
    </row>
    <row r="355" spans="1:20" ht="15">
      <c r="A355" t="s">
        <v>19</v>
      </c>
      <c r="B355" t="s">
        <v>20</v>
      </c>
      <c r="C355" t="str">
        <f t="shared" si="5"/>
        <v>31-Dec-21</v>
      </c>
      <c r="D355" t="s">
        <v>21</v>
      </c>
      <c r="E355" t="s">
        <v>22</v>
      </c>
      <c r="F355" t="str">
        <f>"B1L3CS6"</f>
        <v>B1L3CS6</v>
      </c>
      <c r="G355" t="s">
        <v>380</v>
      </c>
      <c r="I355" t="s">
        <v>103</v>
      </c>
      <c r="J355">
        <v>0.839602791</v>
      </c>
      <c r="K355">
        <v>61435</v>
      </c>
      <c r="L355">
        <v>3940600.11</v>
      </c>
      <c r="M355">
        <v>3491094.71</v>
      </c>
      <c r="N355">
        <v>43.07</v>
      </c>
      <c r="O355">
        <v>2646005.45</v>
      </c>
      <c r="P355">
        <v>2221593.56</v>
      </c>
      <c r="Q355">
        <v>0</v>
      </c>
      <c r="R355">
        <v>0</v>
      </c>
      <c r="S355">
        <v>0.051</v>
      </c>
      <c r="T355" t="s">
        <v>25</v>
      </c>
    </row>
    <row r="356" spans="1:20" ht="15">
      <c r="A356" t="s">
        <v>19</v>
      </c>
      <c r="B356" t="s">
        <v>20</v>
      </c>
      <c r="C356" t="str">
        <f t="shared" si="5"/>
        <v>31-Dec-21</v>
      </c>
      <c r="D356" t="s">
        <v>21</v>
      </c>
      <c r="E356" t="s">
        <v>22</v>
      </c>
      <c r="F356" t="str">
        <f>"BF44466"</f>
        <v>BF44466</v>
      </c>
      <c r="G356" t="s">
        <v>381</v>
      </c>
      <c r="I356" t="s">
        <v>103</v>
      </c>
      <c r="J356">
        <v>0.839602791</v>
      </c>
      <c r="K356">
        <v>134200</v>
      </c>
      <c r="L356">
        <v>3674104.95</v>
      </c>
      <c r="M356">
        <v>2951499.69</v>
      </c>
      <c r="N356">
        <v>35.75</v>
      </c>
      <c r="O356">
        <v>4797650</v>
      </c>
      <c r="P356">
        <v>4028120.33</v>
      </c>
      <c r="Q356">
        <v>0</v>
      </c>
      <c r="R356">
        <v>0</v>
      </c>
      <c r="S356">
        <v>0.093</v>
      </c>
      <c r="T356" t="s">
        <v>25</v>
      </c>
    </row>
    <row r="357" spans="1:20" ht="15">
      <c r="A357" t="s">
        <v>19</v>
      </c>
      <c r="B357" t="s">
        <v>20</v>
      </c>
      <c r="C357" t="str">
        <f t="shared" si="5"/>
        <v>31-Dec-21</v>
      </c>
      <c r="D357" t="s">
        <v>21</v>
      </c>
      <c r="E357" t="s">
        <v>22</v>
      </c>
      <c r="F357" t="str">
        <f>"BYMXPS7"</f>
        <v>BYMXPS7</v>
      </c>
      <c r="G357" t="s">
        <v>382</v>
      </c>
      <c r="I357" t="s">
        <v>103</v>
      </c>
      <c r="J357">
        <v>0.839602791</v>
      </c>
      <c r="K357">
        <v>1370211</v>
      </c>
      <c r="L357">
        <v>23979247.28</v>
      </c>
      <c r="M357">
        <v>19834270.82</v>
      </c>
      <c r="N357">
        <v>13.544</v>
      </c>
      <c r="O357">
        <v>18558137.78</v>
      </c>
      <c r="P357">
        <v>15581464.27</v>
      </c>
      <c r="Q357">
        <v>0</v>
      </c>
      <c r="R357">
        <v>0</v>
      </c>
      <c r="S357">
        <v>0.36</v>
      </c>
      <c r="T357" t="s">
        <v>25</v>
      </c>
    </row>
    <row r="358" spans="1:20" ht="15">
      <c r="A358" t="s">
        <v>19</v>
      </c>
      <c r="B358" t="s">
        <v>20</v>
      </c>
      <c r="C358" t="str">
        <f t="shared" si="5"/>
        <v>31-Dec-21</v>
      </c>
      <c r="D358" t="s">
        <v>21</v>
      </c>
      <c r="E358" t="s">
        <v>22</v>
      </c>
      <c r="F358" t="str">
        <f>"BFYM460"</f>
        <v>BFYM460</v>
      </c>
      <c r="G358" t="s">
        <v>383</v>
      </c>
      <c r="I358" t="s">
        <v>103</v>
      </c>
      <c r="J358">
        <v>0.839602791</v>
      </c>
      <c r="K358">
        <v>62059</v>
      </c>
      <c r="L358">
        <v>12795466.66</v>
      </c>
      <c r="M358">
        <v>10073631.9</v>
      </c>
      <c r="N358">
        <v>61.62</v>
      </c>
      <c r="O358">
        <v>3824075.58</v>
      </c>
      <c r="P358">
        <v>3210704.53</v>
      </c>
      <c r="Q358">
        <v>0</v>
      </c>
      <c r="R358">
        <v>0</v>
      </c>
      <c r="S358">
        <v>0.074</v>
      </c>
      <c r="T358" t="s">
        <v>25</v>
      </c>
    </row>
    <row r="359" spans="1:20" ht="15">
      <c r="A359" t="s">
        <v>19</v>
      </c>
      <c r="B359" t="s">
        <v>20</v>
      </c>
      <c r="C359" t="str">
        <f t="shared" si="5"/>
        <v>31-Dec-21</v>
      </c>
      <c r="D359" t="s">
        <v>21</v>
      </c>
      <c r="E359" t="s">
        <v>22</v>
      </c>
      <c r="F359" t="str">
        <f>"BZ6CZ43"</f>
        <v>BZ6CZ43</v>
      </c>
      <c r="G359" t="s">
        <v>384</v>
      </c>
      <c r="I359" t="s">
        <v>103</v>
      </c>
      <c r="J359">
        <v>0.839602791</v>
      </c>
      <c r="K359">
        <v>45233</v>
      </c>
      <c r="L359">
        <v>834910.84</v>
      </c>
      <c r="M359">
        <v>652275.16</v>
      </c>
      <c r="N359">
        <v>41.8</v>
      </c>
      <c r="O359">
        <v>1890739.4</v>
      </c>
      <c r="P359">
        <v>1587470.08</v>
      </c>
      <c r="Q359">
        <v>0</v>
      </c>
      <c r="R359">
        <v>0</v>
      </c>
      <c r="S359">
        <v>0.037</v>
      </c>
      <c r="T359" t="s">
        <v>25</v>
      </c>
    </row>
    <row r="360" spans="1:20" ht="15">
      <c r="A360" t="s">
        <v>19</v>
      </c>
      <c r="B360" t="s">
        <v>20</v>
      </c>
      <c r="C360" t="str">
        <f t="shared" si="5"/>
        <v>31-Dec-21</v>
      </c>
      <c r="D360" t="s">
        <v>21</v>
      </c>
      <c r="E360" t="s">
        <v>22</v>
      </c>
      <c r="F360" t="str">
        <f>"B89YH96"</f>
        <v>B89YH96</v>
      </c>
      <c r="G360" t="s">
        <v>385</v>
      </c>
      <c r="I360" t="s">
        <v>103</v>
      </c>
      <c r="J360">
        <v>0.839602791</v>
      </c>
      <c r="K360">
        <v>302920</v>
      </c>
      <c r="L360">
        <v>704937.09</v>
      </c>
      <c r="M360">
        <v>542680.37</v>
      </c>
      <c r="N360">
        <v>2.48</v>
      </c>
      <c r="O360">
        <v>751241.6</v>
      </c>
      <c r="P360">
        <v>630744.54</v>
      </c>
      <c r="Q360">
        <v>0</v>
      </c>
      <c r="R360">
        <v>0</v>
      </c>
      <c r="S360">
        <v>0.015</v>
      </c>
      <c r="T360" t="s">
        <v>25</v>
      </c>
    </row>
    <row r="361" spans="1:20" ht="15">
      <c r="A361" t="s">
        <v>19</v>
      </c>
      <c r="B361" t="s">
        <v>20</v>
      </c>
      <c r="C361" t="str">
        <f t="shared" si="5"/>
        <v>31-Dec-21</v>
      </c>
      <c r="D361" t="s">
        <v>21</v>
      </c>
      <c r="E361" t="s">
        <v>22</v>
      </c>
      <c r="F361" t="str">
        <f>"BNZGVV1"</f>
        <v>BNZGVV1</v>
      </c>
      <c r="G361" t="s">
        <v>386</v>
      </c>
      <c r="I361" t="s">
        <v>103</v>
      </c>
      <c r="J361">
        <v>0.839602791</v>
      </c>
      <c r="K361">
        <v>471668</v>
      </c>
      <c r="L361">
        <v>7421213.57</v>
      </c>
      <c r="M361">
        <v>5693081.49</v>
      </c>
      <c r="N361">
        <v>24.78</v>
      </c>
      <c r="O361">
        <v>11687933.04</v>
      </c>
      <c r="P361">
        <v>9813221.2</v>
      </c>
      <c r="Q361">
        <v>0</v>
      </c>
      <c r="R361">
        <v>0</v>
      </c>
      <c r="S361">
        <v>0.227</v>
      </c>
      <c r="T361" t="s">
        <v>25</v>
      </c>
    </row>
    <row r="362" spans="1:20" ht="15">
      <c r="A362" t="s">
        <v>19</v>
      </c>
      <c r="B362" t="s">
        <v>20</v>
      </c>
      <c r="C362" t="str">
        <f t="shared" si="5"/>
        <v>31-Dec-21</v>
      </c>
      <c r="D362" t="s">
        <v>21</v>
      </c>
      <c r="E362" t="s">
        <v>22</v>
      </c>
      <c r="F362" t="str">
        <f>"4354134"</f>
        <v>4354134</v>
      </c>
      <c r="G362" t="s">
        <v>387</v>
      </c>
      <c r="I362" t="s">
        <v>103</v>
      </c>
      <c r="J362">
        <v>0.839602791</v>
      </c>
      <c r="K362">
        <v>72457</v>
      </c>
      <c r="L362">
        <v>3026060.16</v>
      </c>
      <c r="M362">
        <v>2307272.23</v>
      </c>
      <c r="N362">
        <v>34.94</v>
      </c>
      <c r="O362">
        <v>2531647.58</v>
      </c>
      <c r="P362">
        <v>2125578.37</v>
      </c>
      <c r="Q362">
        <v>0</v>
      </c>
      <c r="R362">
        <v>0</v>
      </c>
      <c r="S362">
        <v>0.049</v>
      </c>
      <c r="T362" t="s">
        <v>25</v>
      </c>
    </row>
    <row r="363" spans="1:20" ht="15">
      <c r="A363" t="s">
        <v>19</v>
      </c>
      <c r="B363" t="s">
        <v>20</v>
      </c>
      <c r="C363" t="str">
        <f t="shared" si="5"/>
        <v>31-Dec-21</v>
      </c>
      <c r="D363" t="s">
        <v>21</v>
      </c>
      <c r="E363" t="s">
        <v>22</v>
      </c>
      <c r="F363" t="str">
        <f>"BDC5ST8"</f>
        <v>BDC5ST8</v>
      </c>
      <c r="G363" t="s">
        <v>388</v>
      </c>
      <c r="I363" t="s">
        <v>103</v>
      </c>
      <c r="J363">
        <v>0.839602791</v>
      </c>
      <c r="K363">
        <v>156793</v>
      </c>
      <c r="L363">
        <v>6995144.43</v>
      </c>
      <c r="M363">
        <v>5356551.84</v>
      </c>
      <c r="N363">
        <v>26.58</v>
      </c>
      <c r="O363">
        <v>4167557.94</v>
      </c>
      <c r="P363">
        <v>3499093.28</v>
      </c>
      <c r="Q363">
        <v>0</v>
      </c>
      <c r="R363">
        <v>0</v>
      </c>
      <c r="S363">
        <v>0.081</v>
      </c>
      <c r="T363" t="s">
        <v>25</v>
      </c>
    </row>
    <row r="364" spans="1:20" ht="15">
      <c r="A364" t="s">
        <v>19</v>
      </c>
      <c r="B364" t="s">
        <v>20</v>
      </c>
      <c r="C364" t="str">
        <f t="shared" si="5"/>
        <v>31-Dec-21</v>
      </c>
      <c r="D364" t="s">
        <v>21</v>
      </c>
      <c r="E364" t="s">
        <v>22</v>
      </c>
      <c r="F364" t="str">
        <f>"BH6XZT5"</f>
        <v>BH6XZT5</v>
      </c>
      <c r="G364" t="s">
        <v>389</v>
      </c>
      <c r="I364" t="s">
        <v>103</v>
      </c>
      <c r="J364">
        <v>0.839602791</v>
      </c>
      <c r="K364">
        <v>85904</v>
      </c>
      <c r="L364">
        <v>2799094.41</v>
      </c>
      <c r="M364">
        <v>2391911.53</v>
      </c>
      <c r="N364">
        <v>37.72</v>
      </c>
      <c r="O364">
        <v>3240298.88</v>
      </c>
      <c r="P364">
        <v>2720563.98</v>
      </c>
      <c r="Q364">
        <v>0</v>
      </c>
      <c r="R364">
        <v>0</v>
      </c>
      <c r="S364">
        <v>0.063</v>
      </c>
      <c r="T364" t="s">
        <v>25</v>
      </c>
    </row>
    <row r="365" spans="1:20" ht="15">
      <c r="A365" t="s">
        <v>19</v>
      </c>
      <c r="B365" t="s">
        <v>20</v>
      </c>
      <c r="C365" t="str">
        <f t="shared" si="5"/>
        <v>31-Dec-21</v>
      </c>
      <c r="D365" t="s">
        <v>21</v>
      </c>
      <c r="E365" t="s">
        <v>22</v>
      </c>
      <c r="F365" t="str">
        <f>"BLH32J1"</f>
        <v>BLH32J1</v>
      </c>
      <c r="G365" t="s">
        <v>390</v>
      </c>
      <c r="I365" t="s">
        <v>103</v>
      </c>
      <c r="J365">
        <v>0.839602791</v>
      </c>
      <c r="K365">
        <v>47915</v>
      </c>
      <c r="L365">
        <v>1559945.18</v>
      </c>
      <c r="M365">
        <v>1325965.16</v>
      </c>
      <c r="N365">
        <v>32.2</v>
      </c>
      <c r="O365">
        <v>1542863</v>
      </c>
      <c r="P365">
        <v>1295392.08</v>
      </c>
      <c r="Q365">
        <v>0</v>
      </c>
      <c r="R365">
        <v>0</v>
      </c>
      <c r="S365">
        <v>0.03</v>
      </c>
      <c r="T365" t="s">
        <v>25</v>
      </c>
    </row>
    <row r="366" spans="1:20" ht="15">
      <c r="A366" t="s">
        <v>19</v>
      </c>
      <c r="B366" t="s">
        <v>20</v>
      </c>
      <c r="C366" t="str">
        <f t="shared" si="5"/>
        <v>31-Dec-21</v>
      </c>
      <c r="D366" t="s">
        <v>21</v>
      </c>
      <c r="E366" t="s">
        <v>22</v>
      </c>
      <c r="F366" t="str">
        <f>"5802449"</f>
        <v>5802449</v>
      </c>
      <c r="G366" t="s">
        <v>391</v>
      </c>
      <c r="I366" t="s">
        <v>103</v>
      </c>
      <c r="J366">
        <v>0.839602791</v>
      </c>
      <c r="K366">
        <v>8912</v>
      </c>
      <c r="L366">
        <v>668533.68</v>
      </c>
      <c r="M366">
        <v>566511.05</v>
      </c>
      <c r="N366">
        <v>114.5</v>
      </c>
      <c r="O366">
        <v>1020424</v>
      </c>
      <c r="P366">
        <v>856750.84</v>
      </c>
      <c r="Q366">
        <v>0</v>
      </c>
      <c r="R366">
        <v>0</v>
      </c>
      <c r="S366">
        <v>0.02</v>
      </c>
      <c r="T366" t="s">
        <v>25</v>
      </c>
    </row>
    <row r="367" spans="1:20" ht="15">
      <c r="A367" t="s">
        <v>19</v>
      </c>
      <c r="B367" t="s">
        <v>20</v>
      </c>
      <c r="C367" t="str">
        <f t="shared" si="5"/>
        <v>31-Dec-21</v>
      </c>
      <c r="D367" t="s">
        <v>21</v>
      </c>
      <c r="E367" t="s">
        <v>22</v>
      </c>
      <c r="F367" t="str">
        <f>"4031879"</f>
        <v>4031879</v>
      </c>
      <c r="G367" t="s">
        <v>392</v>
      </c>
      <c r="I367" t="s">
        <v>103</v>
      </c>
      <c r="J367">
        <v>0.839602791</v>
      </c>
      <c r="K367">
        <v>401337</v>
      </c>
      <c r="L367">
        <v>8213251.5</v>
      </c>
      <c r="M367">
        <v>6546305.06</v>
      </c>
      <c r="N367">
        <v>32.26</v>
      </c>
      <c r="O367">
        <v>12947131.62</v>
      </c>
      <c r="P367">
        <v>10870447.84</v>
      </c>
      <c r="Q367">
        <v>0</v>
      </c>
      <c r="R367">
        <v>0</v>
      </c>
      <c r="S367">
        <v>0.251</v>
      </c>
      <c r="T367" t="s">
        <v>25</v>
      </c>
    </row>
    <row r="368" spans="1:20" ht="15">
      <c r="A368" t="s">
        <v>19</v>
      </c>
      <c r="B368" t="s">
        <v>20</v>
      </c>
      <c r="C368" t="str">
        <f t="shared" si="5"/>
        <v>31-Dec-21</v>
      </c>
      <c r="D368" t="s">
        <v>21</v>
      </c>
      <c r="E368" t="s">
        <v>22</v>
      </c>
      <c r="F368" t="str">
        <f>"4661607"</f>
        <v>4661607</v>
      </c>
      <c r="G368" t="s">
        <v>393</v>
      </c>
      <c r="I368" t="s">
        <v>103</v>
      </c>
      <c r="J368">
        <v>0.839602791</v>
      </c>
      <c r="K368">
        <v>45214</v>
      </c>
      <c r="L368">
        <v>1963898.69</v>
      </c>
      <c r="M368">
        <v>1739274.36</v>
      </c>
      <c r="N368">
        <v>98.9</v>
      </c>
      <c r="O368">
        <v>4471664.6</v>
      </c>
      <c r="P368">
        <v>3754422.08</v>
      </c>
      <c r="Q368">
        <v>0</v>
      </c>
      <c r="R368">
        <v>0</v>
      </c>
      <c r="S368">
        <v>0.087</v>
      </c>
      <c r="T368" t="s">
        <v>25</v>
      </c>
    </row>
    <row r="369" spans="1:20" ht="15">
      <c r="A369" t="s">
        <v>19</v>
      </c>
      <c r="B369" t="s">
        <v>20</v>
      </c>
      <c r="C369" t="str">
        <f t="shared" si="5"/>
        <v>31-Dec-21</v>
      </c>
      <c r="D369" t="s">
        <v>21</v>
      </c>
      <c r="E369" t="s">
        <v>22</v>
      </c>
      <c r="F369" t="str">
        <f>"B1XH026"</f>
        <v>B1XH026</v>
      </c>
      <c r="G369" t="s">
        <v>394</v>
      </c>
      <c r="I369" t="s">
        <v>103</v>
      </c>
      <c r="J369">
        <v>0.839602791</v>
      </c>
      <c r="K369">
        <v>322970</v>
      </c>
      <c r="L369">
        <v>22114994.29</v>
      </c>
      <c r="M369">
        <v>17750114.2</v>
      </c>
      <c r="N369">
        <v>92.91</v>
      </c>
      <c r="O369">
        <v>30007142.7</v>
      </c>
      <c r="P369">
        <v>25194080.75</v>
      </c>
      <c r="Q369">
        <v>0</v>
      </c>
      <c r="R369">
        <v>0</v>
      </c>
      <c r="S369">
        <v>0.582</v>
      </c>
      <c r="T369" t="s">
        <v>25</v>
      </c>
    </row>
    <row r="370" spans="1:20" ht="15">
      <c r="A370" t="s">
        <v>19</v>
      </c>
      <c r="B370" t="s">
        <v>20</v>
      </c>
      <c r="C370" t="str">
        <f t="shared" si="5"/>
        <v>31-Dec-21</v>
      </c>
      <c r="D370" t="s">
        <v>21</v>
      </c>
      <c r="E370" t="s">
        <v>22</v>
      </c>
      <c r="F370" t="str">
        <f>"BMYLGD7"</f>
        <v>BMYLGD7</v>
      </c>
      <c r="G370" t="s">
        <v>395</v>
      </c>
      <c r="I370" t="s">
        <v>103</v>
      </c>
      <c r="J370">
        <v>0.839602791</v>
      </c>
      <c r="K370">
        <v>23470</v>
      </c>
      <c r="L370">
        <v>1267916.4</v>
      </c>
      <c r="M370">
        <v>1083005.14</v>
      </c>
      <c r="N370">
        <v>43.2</v>
      </c>
      <c r="O370">
        <v>1013904</v>
      </c>
      <c r="P370">
        <v>851276.63</v>
      </c>
      <c r="Q370">
        <v>0</v>
      </c>
      <c r="R370">
        <v>0</v>
      </c>
      <c r="S370">
        <v>0.02</v>
      </c>
      <c r="T370" t="s">
        <v>25</v>
      </c>
    </row>
    <row r="371" spans="1:20" ht="15">
      <c r="A371" t="s">
        <v>19</v>
      </c>
      <c r="B371" t="s">
        <v>20</v>
      </c>
      <c r="C371" t="str">
        <f t="shared" si="5"/>
        <v>31-Dec-21</v>
      </c>
      <c r="D371" t="s">
        <v>21</v>
      </c>
      <c r="E371" t="s">
        <v>22</v>
      </c>
      <c r="F371" t="str">
        <f>"4834777"</f>
        <v>4834777</v>
      </c>
      <c r="G371" t="s">
        <v>396</v>
      </c>
      <c r="I371" t="s">
        <v>103</v>
      </c>
      <c r="J371">
        <v>0.839602791</v>
      </c>
      <c r="K371">
        <v>420734</v>
      </c>
      <c r="L371">
        <v>2713470.43</v>
      </c>
      <c r="M371">
        <v>2081601.36</v>
      </c>
      <c r="N371">
        <v>11.89</v>
      </c>
      <c r="O371">
        <v>5002527.26</v>
      </c>
      <c r="P371">
        <v>4200135.85</v>
      </c>
      <c r="Q371">
        <v>0</v>
      </c>
      <c r="R371">
        <v>0</v>
      </c>
      <c r="S371">
        <v>0.097</v>
      </c>
      <c r="T371" t="s">
        <v>25</v>
      </c>
    </row>
    <row r="372" spans="1:20" ht="15">
      <c r="A372" t="s">
        <v>19</v>
      </c>
      <c r="B372" t="s">
        <v>20</v>
      </c>
      <c r="C372" t="str">
        <f t="shared" si="5"/>
        <v>31-Dec-21</v>
      </c>
      <c r="D372" t="s">
        <v>21</v>
      </c>
      <c r="E372" t="s">
        <v>22</v>
      </c>
      <c r="F372" t="str">
        <f>"BBJPFY1"</f>
        <v>BBJPFY1</v>
      </c>
      <c r="G372" t="s">
        <v>397</v>
      </c>
      <c r="I372" t="s">
        <v>103</v>
      </c>
      <c r="J372">
        <v>0.839602791</v>
      </c>
      <c r="K372">
        <v>517708</v>
      </c>
      <c r="L372">
        <v>19617999.24</v>
      </c>
      <c r="M372">
        <v>16281705.29</v>
      </c>
      <c r="N372">
        <v>48.5</v>
      </c>
      <c r="O372">
        <v>25108838</v>
      </c>
      <c r="P372">
        <v>21081450.46</v>
      </c>
      <c r="Q372">
        <v>0</v>
      </c>
      <c r="R372">
        <v>0</v>
      </c>
      <c r="S372">
        <v>0.487</v>
      </c>
      <c r="T372" t="s">
        <v>25</v>
      </c>
    </row>
    <row r="373" spans="1:20" ht="15">
      <c r="A373" t="s">
        <v>19</v>
      </c>
      <c r="B373" t="s">
        <v>20</v>
      </c>
      <c r="C373" t="str">
        <f t="shared" si="5"/>
        <v>31-Dec-21</v>
      </c>
      <c r="D373" t="s">
        <v>21</v>
      </c>
      <c r="E373" t="s">
        <v>22</v>
      </c>
      <c r="F373" t="str">
        <f>"B11Y568"</f>
        <v>B11Y568</v>
      </c>
      <c r="G373" t="s">
        <v>398</v>
      </c>
      <c r="I373" t="s">
        <v>103</v>
      </c>
      <c r="J373">
        <v>0.839602791</v>
      </c>
      <c r="K373">
        <v>9651</v>
      </c>
      <c r="L373">
        <v>1075025.92</v>
      </c>
      <c r="M373">
        <v>823546.16</v>
      </c>
      <c r="N373">
        <v>131.6</v>
      </c>
      <c r="O373">
        <v>1270071.6</v>
      </c>
      <c r="P373">
        <v>1066355.66</v>
      </c>
      <c r="Q373">
        <v>0</v>
      </c>
      <c r="R373">
        <v>0</v>
      </c>
      <c r="S373">
        <v>0.025</v>
      </c>
      <c r="T373" t="s">
        <v>25</v>
      </c>
    </row>
    <row r="374" spans="1:20" ht="15">
      <c r="A374" t="s">
        <v>19</v>
      </c>
      <c r="B374" t="s">
        <v>20</v>
      </c>
      <c r="C374" t="str">
        <f t="shared" si="5"/>
        <v>31-Dec-21</v>
      </c>
      <c r="D374" t="s">
        <v>21</v>
      </c>
      <c r="E374" t="s">
        <v>22</v>
      </c>
      <c r="F374" t="str">
        <f>"BK8VQD9"</f>
        <v>BK8VQD9</v>
      </c>
      <c r="G374" t="s">
        <v>399</v>
      </c>
      <c r="I374" t="s">
        <v>103</v>
      </c>
      <c r="J374">
        <v>0.839602791</v>
      </c>
      <c r="K374">
        <v>100834</v>
      </c>
      <c r="L374">
        <v>2791450.6</v>
      </c>
      <c r="M374">
        <v>2395458.92</v>
      </c>
      <c r="N374">
        <v>42.18</v>
      </c>
      <c r="O374">
        <v>4253178.12</v>
      </c>
      <c r="P374">
        <v>3570980.22</v>
      </c>
      <c r="Q374">
        <v>0</v>
      </c>
      <c r="R374">
        <v>0</v>
      </c>
      <c r="S374">
        <v>0.083</v>
      </c>
      <c r="T374" t="s">
        <v>25</v>
      </c>
    </row>
    <row r="375" spans="1:20" ht="15">
      <c r="A375" t="s">
        <v>19</v>
      </c>
      <c r="B375" t="s">
        <v>20</v>
      </c>
      <c r="C375" t="str">
        <f t="shared" si="5"/>
        <v>31-Dec-21</v>
      </c>
      <c r="D375" t="s">
        <v>21</v>
      </c>
      <c r="E375" t="s">
        <v>22</v>
      </c>
      <c r="F375" t="str">
        <f>"4525189"</f>
        <v>4525189</v>
      </c>
      <c r="G375" t="s">
        <v>400</v>
      </c>
      <c r="I375" t="s">
        <v>103</v>
      </c>
      <c r="J375">
        <v>0.839602791</v>
      </c>
      <c r="K375">
        <v>325722</v>
      </c>
      <c r="L375">
        <v>4379940.05</v>
      </c>
      <c r="M375">
        <v>3382350.5</v>
      </c>
      <c r="N375">
        <v>12.36</v>
      </c>
      <c r="O375">
        <v>4025923.92</v>
      </c>
      <c r="P375">
        <v>3380176.96</v>
      </c>
      <c r="Q375">
        <v>0</v>
      </c>
      <c r="R375">
        <v>0</v>
      </c>
      <c r="S375">
        <v>0.078</v>
      </c>
      <c r="T375" t="s">
        <v>25</v>
      </c>
    </row>
    <row r="376" spans="1:20" ht="15">
      <c r="A376" t="s">
        <v>19</v>
      </c>
      <c r="B376" t="s">
        <v>20</v>
      </c>
      <c r="C376" t="str">
        <f t="shared" si="5"/>
        <v>31-Dec-21</v>
      </c>
      <c r="D376" t="s">
        <v>21</v>
      </c>
      <c r="E376" t="s">
        <v>22</v>
      </c>
      <c r="F376" t="str">
        <f>"7390113"</f>
        <v>7390113</v>
      </c>
      <c r="G376" t="s">
        <v>401</v>
      </c>
      <c r="I376" t="s">
        <v>103</v>
      </c>
      <c r="J376">
        <v>0.839602791</v>
      </c>
      <c r="K376">
        <v>17103</v>
      </c>
      <c r="L376">
        <v>1930017.17</v>
      </c>
      <c r="M376">
        <v>1501351.04</v>
      </c>
      <c r="N376">
        <v>105.4</v>
      </c>
      <c r="O376">
        <v>1802656.2</v>
      </c>
      <c r="P376">
        <v>1513515.18</v>
      </c>
      <c r="Q376">
        <v>0</v>
      </c>
      <c r="R376">
        <v>0</v>
      </c>
      <c r="S376">
        <v>0.035</v>
      </c>
      <c r="T376" t="s">
        <v>25</v>
      </c>
    </row>
    <row r="377" spans="1:20" ht="15">
      <c r="A377" t="s">
        <v>19</v>
      </c>
      <c r="B377" t="s">
        <v>20</v>
      </c>
      <c r="C377" t="str">
        <f t="shared" si="5"/>
        <v>31-Dec-21</v>
      </c>
      <c r="D377" t="s">
        <v>21</v>
      </c>
      <c r="E377" t="s">
        <v>22</v>
      </c>
      <c r="F377" t="str">
        <f>"5671519"</f>
        <v>5671519</v>
      </c>
      <c r="G377" t="s">
        <v>402</v>
      </c>
      <c r="I377" t="s">
        <v>103</v>
      </c>
      <c r="J377">
        <v>0.839602791</v>
      </c>
      <c r="K377">
        <v>163750</v>
      </c>
      <c r="L377">
        <v>6100464.71</v>
      </c>
      <c r="M377">
        <v>4814954.03</v>
      </c>
      <c r="N377">
        <v>103.6</v>
      </c>
      <c r="O377">
        <v>16964500</v>
      </c>
      <c r="P377">
        <v>14243441.54</v>
      </c>
      <c r="Q377">
        <v>0</v>
      </c>
      <c r="R377">
        <v>0</v>
      </c>
      <c r="S377">
        <v>0.329</v>
      </c>
      <c r="T377" t="s">
        <v>25</v>
      </c>
    </row>
    <row r="378" spans="1:20" ht="15">
      <c r="A378" t="s">
        <v>19</v>
      </c>
      <c r="B378" t="s">
        <v>20</v>
      </c>
      <c r="C378" t="str">
        <f t="shared" si="5"/>
        <v>31-Dec-21</v>
      </c>
      <c r="D378" t="s">
        <v>21</v>
      </c>
      <c r="E378" t="s">
        <v>22</v>
      </c>
      <c r="F378" t="str">
        <f>"BNFWR44"</f>
        <v>BNFWR44</v>
      </c>
      <c r="G378" t="s">
        <v>403</v>
      </c>
      <c r="I378" t="s">
        <v>103</v>
      </c>
      <c r="J378">
        <v>0.839602791</v>
      </c>
      <c r="K378">
        <v>161535</v>
      </c>
      <c r="L378">
        <v>9765875.9</v>
      </c>
      <c r="M378">
        <v>8028850.99</v>
      </c>
      <c r="N378">
        <v>49.01</v>
      </c>
      <c r="O378">
        <v>7916830.35</v>
      </c>
      <c r="P378">
        <v>6646992.86</v>
      </c>
      <c r="Q378">
        <v>0</v>
      </c>
      <c r="R378">
        <v>0</v>
      </c>
      <c r="S378">
        <v>0.154</v>
      </c>
      <c r="T378" t="s">
        <v>25</v>
      </c>
    </row>
    <row r="379" spans="1:20" ht="15">
      <c r="A379" t="s">
        <v>19</v>
      </c>
      <c r="B379" t="s">
        <v>20</v>
      </c>
      <c r="C379" t="str">
        <f t="shared" si="5"/>
        <v>31-Dec-21</v>
      </c>
      <c r="D379" t="s">
        <v>21</v>
      </c>
      <c r="E379" t="s">
        <v>22</v>
      </c>
      <c r="F379" t="str">
        <f>"BQV0SV7"</f>
        <v>BQV0SV7</v>
      </c>
      <c r="G379" t="s">
        <v>404</v>
      </c>
      <c r="I379" t="s">
        <v>103</v>
      </c>
      <c r="J379">
        <v>0.839602791</v>
      </c>
      <c r="K379">
        <v>145602</v>
      </c>
      <c r="L379">
        <v>7664289.1</v>
      </c>
      <c r="M379">
        <v>6444367.28</v>
      </c>
      <c r="N379">
        <v>71.14</v>
      </c>
      <c r="O379">
        <v>10358126.28</v>
      </c>
      <c r="P379">
        <v>8696711.73</v>
      </c>
      <c r="Q379">
        <v>0</v>
      </c>
      <c r="R379">
        <v>0</v>
      </c>
      <c r="S379">
        <v>0.201</v>
      </c>
      <c r="T379" t="s">
        <v>25</v>
      </c>
    </row>
    <row r="380" spans="1:20" ht="15">
      <c r="A380" t="s">
        <v>19</v>
      </c>
      <c r="B380" t="s">
        <v>20</v>
      </c>
      <c r="C380" t="str">
        <f t="shared" si="5"/>
        <v>31-Dec-21</v>
      </c>
      <c r="D380" t="s">
        <v>21</v>
      </c>
      <c r="E380" t="s">
        <v>22</v>
      </c>
      <c r="F380" t="str">
        <f>"4031976"</f>
        <v>4031976</v>
      </c>
      <c r="G380" t="s">
        <v>405</v>
      </c>
      <c r="I380" t="s">
        <v>103</v>
      </c>
      <c r="J380">
        <v>0.839602791</v>
      </c>
      <c r="K380">
        <v>123543</v>
      </c>
      <c r="L380">
        <v>15623051.33</v>
      </c>
      <c r="M380">
        <v>12812732.5</v>
      </c>
      <c r="N380">
        <v>253.2</v>
      </c>
      <c r="O380">
        <v>31281087.6</v>
      </c>
      <c r="P380">
        <v>26263688.45</v>
      </c>
      <c r="Q380">
        <v>0</v>
      </c>
      <c r="R380">
        <v>0</v>
      </c>
      <c r="S380">
        <v>0.607</v>
      </c>
      <c r="T380" t="s">
        <v>25</v>
      </c>
    </row>
    <row r="381" spans="1:20" ht="15">
      <c r="A381" t="s">
        <v>19</v>
      </c>
      <c r="B381" t="s">
        <v>20</v>
      </c>
      <c r="C381" t="str">
        <f t="shared" si="5"/>
        <v>31-Dec-21</v>
      </c>
      <c r="D381" t="s">
        <v>21</v>
      </c>
      <c r="E381" t="s">
        <v>22</v>
      </c>
      <c r="F381" t="str">
        <f>"5636927"</f>
        <v>5636927</v>
      </c>
      <c r="G381" t="s">
        <v>406</v>
      </c>
      <c r="I381" t="s">
        <v>103</v>
      </c>
      <c r="J381">
        <v>0.839602791</v>
      </c>
      <c r="K381">
        <v>302133</v>
      </c>
      <c r="L381">
        <v>6591848.99</v>
      </c>
      <c r="M381">
        <v>5054670.88</v>
      </c>
      <c r="N381">
        <v>9.684</v>
      </c>
      <c r="O381">
        <v>2925855.97</v>
      </c>
      <c r="P381">
        <v>2456556.84</v>
      </c>
      <c r="Q381">
        <v>0</v>
      </c>
      <c r="R381">
        <v>0</v>
      </c>
      <c r="S381">
        <v>0.057</v>
      </c>
      <c r="T381" t="s">
        <v>25</v>
      </c>
    </row>
    <row r="382" spans="1:20" ht="15">
      <c r="A382" t="s">
        <v>19</v>
      </c>
      <c r="B382" t="s">
        <v>20</v>
      </c>
      <c r="C382" t="str">
        <f t="shared" si="5"/>
        <v>31-Dec-21</v>
      </c>
      <c r="D382" t="s">
        <v>21</v>
      </c>
      <c r="E382" t="s">
        <v>22</v>
      </c>
      <c r="F382" t="str">
        <f>"4943402"</f>
        <v>4943402</v>
      </c>
      <c r="G382" t="s">
        <v>407</v>
      </c>
      <c r="I382" t="s">
        <v>103</v>
      </c>
      <c r="J382">
        <v>0.839602791</v>
      </c>
      <c r="K382">
        <v>77634</v>
      </c>
      <c r="L382">
        <v>2850337.9</v>
      </c>
      <c r="M382">
        <v>2193120.96</v>
      </c>
      <c r="N382">
        <v>32</v>
      </c>
      <c r="O382">
        <v>2484288</v>
      </c>
      <c r="P382">
        <v>2085815.14</v>
      </c>
      <c r="Q382">
        <v>0</v>
      </c>
      <c r="R382">
        <v>0</v>
      </c>
      <c r="S382">
        <v>0.048</v>
      </c>
      <c r="T382" t="s">
        <v>25</v>
      </c>
    </row>
    <row r="383" spans="1:19" ht="15">
      <c r="A383" t="s">
        <v>19</v>
      </c>
      <c r="B383" t="s">
        <v>20</v>
      </c>
      <c r="C383" t="str">
        <f t="shared" si="5"/>
        <v>31-Dec-21</v>
      </c>
      <c r="D383" t="s">
        <v>21</v>
      </c>
      <c r="E383" t="s">
        <v>77</v>
      </c>
      <c r="F383" t="str">
        <f>"STXEH2"</f>
        <v>STXEH2</v>
      </c>
      <c r="G383" t="s">
        <v>408</v>
      </c>
      <c r="I383" t="s">
        <v>103</v>
      </c>
      <c r="J383">
        <v>0.839602791</v>
      </c>
      <c r="K383">
        <v>88</v>
      </c>
      <c r="L383">
        <v>3692702.44</v>
      </c>
      <c r="M383">
        <v>3140159.87</v>
      </c>
      <c r="N383">
        <v>4287.5</v>
      </c>
      <c r="O383">
        <v>3773000</v>
      </c>
      <c r="P383">
        <v>3167821.33</v>
      </c>
      <c r="Q383">
        <v>0</v>
      </c>
      <c r="R383">
        <v>0</v>
      </c>
      <c r="S383">
        <v>0</v>
      </c>
    </row>
    <row r="384" spans="1:20" ht="15">
      <c r="A384" t="s">
        <v>19</v>
      </c>
      <c r="B384" t="s">
        <v>20</v>
      </c>
      <c r="C384" t="str">
        <f t="shared" si="5"/>
        <v>31-Dec-21</v>
      </c>
      <c r="D384" t="s">
        <v>21</v>
      </c>
      <c r="E384" t="s">
        <v>79</v>
      </c>
      <c r="I384" t="s">
        <v>103</v>
      </c>
      <c r="J384">
        <v>0.839602791</v>
      </c>
      <c r="K384">
        <v>0</v>
      </c>
      <c r="L384">
        <v>13733788.34</v>
      </c>
      <c r="M384">
        <v>11594599.17</v>
      </c>
      <c r="N384">
        <v>0</v>
      </c>
      <c r="O384">
        <v>13733788.34</v>
      </c>
      <c r="P384">
        <v>11530927.02</v>
      </c>
      <c r="Q384">
        <v>0</v>
      </c>
      <c r="R384">
        <v>0</v>
      </c>
      <c r="S384">
        <v>0.266</v>
      </c>
      <c r="T384" t="s">
        <v>409</v>
      </c>
    </row>
    <row r="385" spans="1:20" ht="15">
      <c r="A385" t="s">
        <v>19</v>
      </c>
      <c r="B385" t="s">
        <v>20</v>
      </c>
      <c r="C385" t="str">
        <f t="shared" si="5"/>
        <v>31-Dec-21</v>
      </c>
      <c r="D385" t="s">
        <v>21</v>
      </c>
      <c r="E385" t="s">
        <v>79</v>
      </c>
      <c r="I385" t="s">
        <v>21</v>
      </c>
      <c r="J385">
        <v>1</v>
      </c>
      <c r="K385">
        <v>0</v>
      </c>
      <c r="L385">
        <v>146899.99</v>
      </c>
      <c r="M385">
        <v>146899.99</v>
      </c>
      <c r="N385">
        <v>0</v>
      </c>
      <c r="O385">
        <v>146899.99</v>
      </c>
      <c r="P385">
        <v>146899.99</v>
      </c>
      <c r="Q385">
        <v>0</v>
      </c>
      <c r="R385">
        <v>0</v>
      </c>
      <c r="S385">
        <v>0.003</v>
      </c>
      <c r="T385" t="s">
        <v>80</v>
      </c>
    </row>
    <row r="386" spans="1:20" ht="15">
      <c r="A386" t="s">
        <v>19</v>
      </c>
      <c r="B386" t="s">
        <v>20</v>
      </c>
      <c r="C386" t="str">
        <f aca="true" t="shared" si="6" ref="C386:C449">"31-Dec-21"</f>
        <v>31-Dec-21</v>
      </c>
      <c r="D386" t="s">
        <v>21</v>
      </c>
      <c r="E386" t="s">
        <v>410</v>
      </c>
      <c r="I386" t="s">
        <v>21</v>
      </c>
      <c r="J386">
        <v>1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 t="s">
        <v>411</v>
      </c>
    </row>
    <row r="387" spans="1:20" ht="15">
      <c r="A387" t="s">
        <v>19</v>
      </c>
      <c r="B387" t="s">
        <v>20</v>
      </c>
      <c r="C387" t="str">
        <f t="shared" si="6"/>
        <v>31-Dec-21</v>
      </c>
      <c r="D387" t="s">
        <v>21</v>
      </c>
      <c r="E387" t="s">
        <v>22</v>
      </c>
      <c r="F387" t="str">
        <f>"BJ0DP40"</f>
        <v>BJ0DP40</v>
      </c>
      <c r="G387" t="s">
        <v>412</v>
      </c>
      <c r="I387" t="s">
        <v>413</v>
      </c>
      <c r="J387">
        <v>0.083724421</v>
      </c>
      <c r="K387">
        <v>179432</v>
      </c>
      <c r="L387">
        <v>14326590.73</v>
      </c>
      <c r="M387">
        <v>1214510.74</v>
      </c>
      <c r="N387">
        <v>117.3</v>
      </c>
      <c r="O387">
        <v>21047373.6</v>
      </c>
      <c r="P387">
        <v>1762179.17</v>
      </c>
      <c r="Q387">
        <v>0</v>
      </c>
      <c r="R387">
        <v>0</v>
      </c>
      <c r="S387">
        <v>0.041</v>
      </c>
      <c r="T387" t="s">
        <v>25</v>
      </c>
    </row>
    <row r="388" spans="1:20" ht="15">
      <c r="A388" t="s">
        <v>19</v>
      </c>
      <c r="B388" t="s">
        <v>20</v>
      </c>
      <c r="C388" t="str">
        <f t="shared" si="6"/>
        <v>31-Dec-21</v>
      </c>
      <c r="D388" t="s">
        <v>21</v>
      </c>
      <c r="E388" t="s">
        <v>22</v>
      </c>
      <c r="F388" t="str">
        <f>"B02R4D9"</f>
        <v>B02R4D9</v>
      </c>
      <c r="G388" t="s">
        <v>414</v>
      </c>
      <c r="I388" t="s">
        <v>413</v>
      </c>
      <c r="J388">
        <v>0.083724421</v>
      </c>
      <c r="K388">
        <v>16384</v>
      </c>
      <c r="L388">
        <v>11118561.61</v>
      </c>
      <c r="M388">
        <v>1013591.58</v>
      </c>
      <c r="N388">
        <v>825</v>
      </c>
      <c r="O388">
        <v>13516800</v>
      </c>
      <c r="P388">
        <v>1131686.25</v>
      </c>
      <c r="Q388">
        <v>0</v>
      </c>
      <c r="R388">
        <v>0</v>
      </c>
      <c r="S388">
        <v>0.026</v>
      </c>
      <c r="T388" t="s">
        <v>25</v>
      </c>
    </row>
    <row r="389" spans="1:20" ht="15">
      <c r="A389" t="s">
        <v>19</v>
      </c>
      <c r="B389" t="s">
        <v>20</v>
      </c>
      <c r="C389" t="str">
        <f t="shared" si="6"/>
        <v>31-Dec-21</v>
      </c>
      <c r="D389" t="s">
        <v>21</v>
      </c>
      <c r="E389" t="s">
        <v>22</v>
      </c>
      <c r="F389" t="str">
        <f>"B1L95G3"</f>
        <v>B1L95G3</v>
      </c>
      <c r="G389" t="s">
        <v>415</v>
      </c>
      <c r="I389" t="s">
        <v>413</v>
      </c>
      <c r="J389">
        <v>0.083724421</v>
      </c>
      <c r="K389">
        <v>76854</v>
      </c>
      <c r="L389">
        <v>12440292.15</v>
      </c>
      <c r="M389">
        <v>1132370.72</v>
      </c>
      <c r="N389">
        <v>271.6</v>
      </c>
      <c r="O389">
        <v>20873546.4</v>
      </c>
      <c r="P389">
        <v>1747625.59</v>
      </c>
      <c r="Q389">
        <v>0</v>
      </c>
      <c r="R389">
        <v>0</v>
      </c>
      <c r="S389">
        <v>0.04</v>
      </c>
      <c r="T389" t="s">
        <v>25</v>
      </c>
    </row>
    <row r="390" spans="1:20" ht="15">
      <c r="A390" t="s">
        <v>19</v>
      </c>
      <c r="B390" t="s">
        <v>20</v>
      </c>
      <c r="C390" t="str">
        <f t="shared" si="6"/>
        <v>31-Dec-21</v>
      </c>
      <c r="D390" t="s">
        <v>21</v>
      </c>
      <c r="E390" t="s">
        <v>22</v>
      </c>
      <c r="F390" t="str">
        <f>"BNG7113"</f>
        <v>BNG7113</v>
      </c>
      <c r="G390" t="s">
        <v>416</v>
      </c>
      <c r="I390" t="s">
        <v>413</v>
      </c>
      <c r="J390">
        <v>0.083724421</v>
      </c>
      <c r="K390">
        <v>681259</v>
      </c>
      <c r="L390">
        <v>91416321.73</v>
      </c>
      <c r="M390">
        <v>7897106.58</v>
      </c>
      <c r="N390">
        <v>202</v>
      </c>
      <c r="O390">
        <v>137614318</v>
      </c>
      <c r="P390">
        <v>11521679.1</v>
      </c>
      <c r="Q390">
        <v>0</v>
      </c>
      <c r="R390">
        <v>0</v>
      </c>
      <c r="S390">
        <v>0.266</v>
      </c>
      <c r="T390" t="s">
        <v>25</v>
      </c>
    </row>
    <row r="391" spans="1:20" ht="15">
      <c r="A391" t="s">
        <v>19</v>
      </c>
      <c r="B391" t="s">
        <v>20</v>
      </c>
      <c r="C391" t="str">
        <f t="shared" si="6"/>
        <v>31-Dec-21</v>
      </c>
      <c r="D391" t="s">
        <v>21</v>
      </c>
      <c r="E391" t="s">
        <v>22</v>
      </c>
      <c r="F391" t="str">
        <f>"7133608"</f>
        <v>7133608</v>
      </c>
      <c r="G391" t="s">
        <v>417</v>
      </c>
      <c r="I391" t="s">
        <v>413</v>
      </c>
      <c r="J391">
        <v>0.083724421</v>
      </c>
      <c r="K391">
        <v>632260</v>
      </c>
      <c r="L391">
        <v>99964268.61</v>
      </c>
      <c r="M391">
        <v>8631629.43</v>
      </c>
      <c r="N391">
        <v>235.9</v>
      </c>
      <c r="O391">
        <v>149150134</v>
      </c>
      <c r="P391">
        <v>12487508.61</v>
      </c>
      <c r="Q391">
        <v>0</v>
      </c>
      <c r="R391">
        <v>0</v>
      </c>
      <c r="S391">
        <v>0.289</v>
      </c>
      <c r="T391" t="s">
        <v>25</v>
      </c>
    </row>
    <row r="392" spans="1:20" ht="15">
      <c r="A392" t="s">
        <v>19</v>
      </c>
      <c r="B392" t="s">
        <v>20</v>
      </c>
      <c r="C392" t="str">
        <f t="shared" si="6"/>
        <v>31-Dec-21</v>
      </c>
      <c r="D392" t="s">
        <v>21</v>
      </c>
      <c r="E392" t="s">
        <v>22</v>
      </c>
      <c r="F392" t="str">
        <f>"B4PH0C5"</f>
        <v>B4PH0C5</v>
      </c>
      <c r="G392" t="s">
        <v>418</v>
      </c>
      <c r="I392" t="s">
        <v>413</v>
      </c>
      <c r="J392">
        <v>0.083724421</v>
      </c>
      <c r="K392">
        <v>105771</v>
      </c>
      <c r="L392">
        <v>13940392.29</v>
      </c>
      <c r="M392">
        <v>1189645.79</v>
      </c>
      <c r="N392">
        <v>214</v>
      </c>
      <c r="O392">
        <v>22634994</v>
      </c>
      <c r="P392">
        <v>1895101.77</v>
      </c>
      <c r="Q392">
        <v>0</v>
      </c>
      <c r="R392">
        <v>0</v>
      </c>
      <c r="S392">
        <v>0.044</v>
      </c>
      <c r="T392" t="s">
        <v>25</v>
      </c>
    </row>
    <row r="393" spans="1:20" ht="15">
      <c r="A393" t="s">
        <v>19</v>
      </c>
      <c r="B393" t="s">
        <v>20</v>
      </c>
      <c r="C393" t="str">
        <f t="shared" si="6"/>
        <v>31-Dec-21</v>
      </c>
      <c r="D393" t="s">
        <v>21</v>
      </c>
      <c r="E393" t="s">
        <v>22</v>
      </c>
      <c r="F393" t="str">
        <f>"4691916"</f>
        <v>4691916</v>
      </c>
      <c r="G393" t="s">
        <v>419</v>
      </c>
      <c r="I393" t="s">
        <v>413</v>
      </c>
      <c r="J393">
        <v>0.083724421</v>
      </c>
      <c r="K393">
        <v>165028</v>
      </c>
      <c r="L393">
        <v>10130022.34</v>
      </c>
      <c r="M393">
        <v>884919.16</v>
      </c>
      <c r="N393">
        <v>68.96</v>
      </c>
      <c r="O393">
        <v>11380330.88</v>
      </c>
      <c r="P393">
        <v>952811.61</v>
      </c>
      <c r="Q393">
        <v>0</v>
      </c>
      <c r="R393">
        <v>0</v>
      </c>
      <c r="S393">
        <v>0.022</v>
      </c>
      <c r="T393" t="s">
        <v>25</v>
      </c>
    </row>
    <row r="394" spans="1:20" ht="15">
      <c r="A394" t="s">
        <v>19</v>
      </c>
      <c r="B394" t="s">
        <v>20</v>
      </c>
      <c r="C394" t="str">
        <f t="shared" si="6"/>
        <v>31-Dec-21</v>
      </c>
      <c r="D394" t="s">
        <v>21</v>
      </c>
      <c r="E394" t="s">
        <v>22</v>
      </c>
      <c r="F394" t="str">
        <f>"B02L486"</f>
        <v>B02L486</v>
      </c>
      <c r="G394" t="s">
        <v>420</v>
      </c>
      <c r="I394" t="s">
        <v>413</v>
      </c>
      <c r="J394">
        <v>0.083724421</v>
      </c>
      <c r="K394">
        <v>288136</v>
      </c>
      <c r="L394">
        <v>35645983.84</v>
      </c>
      <c r="M394">
        <v>3062712.47</v>
      </c>
      <c r="N394">
        <v>208.7</v>
      </c>
      <c r="O394">
        <v>60133983.2</v>
      </c>
      <c r="P394">
        <v>5034682.93</v>
      </c>
      <c r="Q394">
        <v>0</v>
      </c>
      <c r="R394">
        <v>0</v>
      </c>
      <c r="S394">
        <v>0.116</v>
      </c>
      <c r="T394" t="s">
        <v>25</v>
      </c>
    </row>
    <row r="395" spans="1:20" ht="15">
      <c r="A395" t="s">
        <v>19</v>
      </c>
      <c r="B395" t="s">
        <v>20</v>
      </c>
      <c r="C395" t="str">
        <f t="shared" si="6"/>
        <v>31-Dec-21</v>
      </c>
      <c r="D395" t="s">
        <v>21</v>
      </c>
      <c r="E395" t="s">
        <v>22</v>
      </c>
      <c r="F395" t="str">
        <f>"B11HK39"</f>
        <v>B11HK39</v>
      </c>
      <c r="G395" t="s">
        <v>421</v>
      </c>
      <c r="I395" t="s">
        <v>413</v>
      </c>
      <c r="J395">
        <v>0.083724421</v>
      </c>
      <c r="K395">
        <v>885645</v>
      </c>
      <c r="L395">
        <v>35110465.58</v>
      </c>
      <c r="M395">
        <v>3001202.81</v>
      </c>
      <c r="N395">
        <v>69.52</v>
      </c>
      <c r="O395">
        <v>61570040.4</v>
      </c>
      <c r="P395">
        <v>5154915.98</v>
      </c>
      <c r="Q395">
        <v>0</v>
      </c>
      <c r="R395">
        <v>0</v>
      </c>
      <c r="S395">
        <v>0.119</v>
      </c>
      <c r="T395" t="s">
        <v>25</v>
      </c>
    </row>
    <row r="396" spans="1:20" ht="15">
      <c r="A396" t="s">
        <v>19</v>
      </c>
      <c r="B396" t="s">
        <v>20</v>
      </c>
      <c r="C396" t="str">
        <f t="shared" si="6"/>
        <v>31-Dec-21</v>
      </c>
      <c r="D396" t="s">
        <v>21</v>
      </c>
      <c r="E396" t="s">
        <v>22</v>
      </c>
      <c r="F396" t="str">
        <f>"B1VQF42"</f>
        <v>B1VQF42</v>
      </c>
      <c r="G396" t="s">
        <v>422</v>
      </c>
      <c r="I396" t="s">
        <v>413</v>
      </c>
      <c r="J396">
        <v>0.083724421</v>
      </c>
      <c r="K396">
        <v>501228</v>
      </c>
      <c r="L396">
        <v>33388096.55</v>
      </c>
      <c r="M396">
        <v>2854258.5</v>
      </c>
      <c r="N396">
        <v>88.36</v>
      </c>
      <c r="O396">
        <v>44288506.08</v>
      </c>
      <c r="P396">
        <v>3708029.53</v>
      </c>
      <c r="Q396">
        <v>0</v>
      </c>
      <c r="R396">
        <v>0</v>
      </c>
      <c r="S396">
        <v>0.086</v>
      </c>
      <c r="T396" t="s">
        <v>25</v>
      </c>
    </row>
    <row r="397" spans="1:20" ht="15">
      <c r="A397" t="s">
        <v>19</v>
      </c>
      <c r="B397" t="s">
        <v>20</v>
      </c>
      <c r="C397" t="str">
        <f t="shared" si="6"/>
        <v>31-Dec-21</v>
      </c>
      <c r="D397" t="s">
        <v>21</v>
      </c>
      <c r="E397" t="s">
        <v>22</v>
      </c>
      <c r="F397" t="str">
        <f>"B1W5NW2"</f>
        <v>B1W5NW2</v>
      </c>
      <c r="G397" t="s">
        <v>423</v>
      </c>
      <c r="I397" t="s">
        <v>413</v>
      </c>
      <c r="J397">
        <v>0.083724421</v>
      </c>
      <c r="K397">
        <v>35764</v>
      </c>
      <c r="L397">
        <v>15414703.9</v>
      </c>
      <c r="M397">
        <v>1340505.83</v>
      </c>
      <c r="N397">
        <v>608</v>
      </c>
      <c r="O397">
        <v>21744512</v>
      </c>
      <c r="P397">
        <v>1820546.68</v>
      </c>
      <c r="Q397">
        <v>0</v>
      </c>
      <c r="R397">
        <v>0</v>
      </c>
      <c r="S397">
        <v>0.042</v>
      </c>
      <c r="T397" t="s">
        <v>25</v>
      </c>
    </row>
    <row r="398" spans="1:20" ht="15">
      <c r="A398" t="s">
        <v>19</v>
      </c>
      <c r="B398" t="s">
        <v>20</v>
      </c>
      <c r="C398" t="str">
        <f t="shared" si="6"/>
        <v>31-Dec-21</v>
      </c>
      <c r="D398" t="s">
        <v>21</v>
      </c>
      <c r="E398" t="s">
        <v>22</v>
      </c>
      <c r="F398" t="str">
        <f>"BQSSWW3"</f>
        <v>BQSSWW3</v>
      </c>
      <c r="G398" t="s">
        <v>424</v>
      </c>
      <c r="I398" t="s">
        <v>413</v>
      </c>
      <c r="J398">
        <v>0.083724421</v>
      </c>
      <c r="K398">
        <v>75866</v>
      </c>
      <c r="L398">
        <v>18466027.1</v>
      </c>
      <c r="M398">
        <v>1558012.77</v>
      </c>
      <c r="N398">
        <v>152.75</v>
      </c>
      <c r="O398">
        <v>11588531.5</v>
      </c>
      <c r="P398">
        <v>970243.09</v>
      </c>
      <c r="Q398">
        <v>0</v>
      </c>
      <c r="R398">
        <v>0</v>
      </c>
      <c r="S398">
        <v>0.022</v>
      </c>
      <c r="T398" t="s">
        <v>25</v>
      </c>
    </row>
    <row r="399" spans="1:20" ht="15">
      <c r="A399" t="s">
        <v>19</v>
      </c>
      <c r="B399" t="s">
        <v>20</v>
      </c>
      <c r="C399" t="str">
        <f t="shared" si="6"/>
        <v>31-Dec-21</v>
      </c>
      <c r="D399" t="s">
        <v>21</v>
      </c>
      <c r="E399" t="s">
        <v>22</v>
      </c>
      <c r="F399" t="str">
        <f>"BWVFKQ3"</f>
        <v>BWVFKQ3</v>
      </c>
      <c r="G399" t="s">
        <v>425</v>
      </c>
      <c r="I399" t="s">
        <v>413</v>
      </c>
      <c r="J399">
        <v>0.083724421</v>
      </c>
      <c r="K399">
        <v>65543</v>
      </c>
      <c r="L399">
        <v>11431627.82</v>
      </c>
      <c r="M399">
        <v>984794.86</v>
      </c>
      <c r="N399">
        <v>297</v>
      </c>
      <c r="O399">
        <v>19466271</v>
      </c>
      <c r="P399">
        <v>1629802.27</v>
      </c>
      <c r="Q399">
        <v>0</v>
      </c>
      <c r="R399">
        <v>0</v>
      </c>
      <c r="S399">
        <v>0.038</v>
      </c>
      <c r="T399" t="s">
        <v>25</v>
      </c>
    </row>
    <row r="400" spans="1:20" ht="15">
      <c r="A400" t="s">
        <v>19</v>
      </c>
      <c r="B400" t="s">
        <v>20</v>
      </c>
      <c r="C400" t="str">
        <f t="shared" si="6"/>
        <v>31-Dec-21</v>
      </c>
      <c r="D400" t="s">
        <v>21</v>
      </c>
      <c r="E400" t="s">
        <v>22</v>
      </c>
      <c r="F400" t="str">
        <f>"4790534"</f>
        <v>4790534</v>
      </c>
      <c r="G400" t="s">
        <v>426</v>
      </c>
      <c r="I400" t="s">
        <v>413</v>
      </c>
      <c r="J400">
        <v>0.083724421</v>
      </c>
      <c r="K400">
        <v>50159</v>
      </c>
      <c r="L400">
        <v>10248189.23</v>
      </c>
      <c r="M400">
        <v>868517.22</v>
      </c>
      <c r="N400">
        <v>340.1</v>
      </c>
      <c r="O400">
        <v>17059075.9</v>
      </c>
      <c r="P400">
        <v>1428261.25</v>
      </c>
      <c r="Q400">
        <v>0</v>
      </c>
      <c r="R400">
        <v>0</v>
      </c>
      <c r="S400">
        <v>0.033</v>
      </c>
      <c r="T400" t="s">
        <v>25</v>
      </c>
    </row>
    <row r="401" spans="1:20" ht="15">
      <c r="A401" t="s">
        <v>19</v>
      </c>
      <c r="B401" t="s">
        <v>20</v>
      </c>
      <c r="C401" t="str">
        <f t="shared" si="6"/>
        <v>31-Dec-21</v>
      </c>
      <c r="D401" t="s">
        <v>21</v>
      </c>
      <c r="E401" t="s">
        <v>22</v>
      </c>
      <c r="F401" t="str">
        <f>"4730875"</f>
        <v>4730875</v>
      </c>
      <c r="G401" t="s">
        <v>427</v>
      </c>
      <c r="I401" t="s">
        <v>413</v>
      </c>
      <c r="J401">
        <v>0.083724421</v>
      </c>
      <c r="K401">
        <v>77017</v>
      </c>
      <c r="L401">
        <v>30068796.54</v>
      </c>
      <c r="M401">
        <v>2550954.4</v>
      </c>
      <c r="N401">
        <v>631</v>
      </c>
      <c r="O401">
        <v>48597727</v>
      </c>
      <c r="P401">
        <v>4068816.56</v>
      </c>
      <c r="Q401">
        <v>0</v>
      </c>
      <c r="R401">
        <v>0</v>
      </c>
      <c r="S401">
        <v>0.094</v>
      </c>
      <c r="T401" t="s">
        <v>25</v>
      </c>
    </row>
    <row r="402" spans="1:20" ht="15">
      <c r="A402" t="s">
        <v>19</v>
      </c>
      <c r="B402" t="s">
        <v>20</v>
      </c>
      <c r="C402" t="str">
        <f t="shared" si="6"/>
        <v>31-Dec-21</v>
      </c>
      <c r="D402" t="s">
        <v>21</v>
      </c>
      <c r="E402" t="s">
        <v>22</v>
      </c>
      <c r="F402" t="str">
        <f>"4732495"</f>
        <v>4732495</v>
      </c>
      <c r="G402" t="s">
        <v>428</v>
      </c>
      <c r="I402" t="s">
        <v>413</v>
      </c>
      <c r="J402">
        <v>0.083724421</v>
      </c>
      <c r="K402">
        <v>409359</v>
      </c>
      <c r="L402">
        <v>66306293.08</v>
      </c>
      <c r="M402">
        <v>5668654.56</v>
      </c>
      <c r="N402">
        <v>138.6</v>
      </c>
      <c r="O402">
        <v>56737157.4</v>
      </c>
      <c r="P402">
        <v>4750285.65</v>
      </c>
      <c r="Q402">
        <v>0</v>
      </c>
      <c r="R402">
        <v>0</v>
      </c>
      <c r="S402">
        <v>0.11</v>
      </c>
      <c r="T402" t="s">
        <v>25</v>
      </c>
    </row>
    <row r="403" spans="1:20" ht="15">
      <c r="A403" t="s">
        <v>19</v>
      </c>
      <c r="B403" t="s">
        <v>20</v>
      </c>
      <c r="C403" t="str">
        <f t="shared" si="6"/>
        <v>31-Dec-21</v>
      </c>
      <c r="D403" t="s">
        <v>21</v>
      </c>
      <c r="E403" t="s">
        <v>22</v>
      </c>
      <c r="F403" t="str">
        <f>"7751259"</f>
        <v>7751259</v>
      </c>
      <c r="G403" t="s">
        <v>429</v>
      </c>
      <c r="I403" t="s">
        <v>413</v>
      </c>
      <c r="J403">
        <v>0.083724421</v>
      </c>
      <c r="K403">
        <v>97130</v>
      </c>
      <c r="L403">
        <v>36312279.74</v>
      </c>
      <c r="M403">
        <v>3131266.99</v>
      </c>
      <c r="N403">
        <v>445</v>
      </c>
      <c r="O403">
        <v>43222850</v>
      </c>
      <c r="P403">
        <v>3618808.09</v>
      </c>
      <c r="Q403">
        <v>0</v>
      </c>
      <c r="R403">
        <v>0</v>
      </c>
      <c r="S403">
        <v>0.084</v>
      </c>
      <c r="T403" t="s">
        <v>25</v>
      </c>
    </row>
    <row r="404" spans="1:20" ht="15">
      <c r="A404" t="s">
        <v>19</v>
      </c>
      <c r="B404" t="s">
        <v>20</v>
      </c>
      <c r="C404" t="str">
        <f t="shared" si="6"/>
        <v>31-Dec-21</v>
      </c>
      <c r="D404" t="s">
        <v>21</v>
      </c>
      <c r="E404" t="s">
        <v>79</v>
      </c>
      <c r="I404" t="s">
        <v>413</v>
      </c>
      <c r="J404">
        <v>0.083724421</v>
      </c>
      <c r="K404">
        <v>0</v>
      </c>
      <c r="L404">
        <v>3781121.54</v>
      </c>
      <c r="M404">
        <v>322151.91</v>
      </c>
      <c r="N404">
        <v>0</v>
      </c>
      <c r="O404">
        <v>3781121.54</v>
      </c>
      <c r="P404">
        <v>316572.21</v>
      </c>
      <c r="Q404">
        <v>0</v>
      </c>
      <c r="R404">
        <v>0</v>
      </c>
      <c r="S404">
        <v>0.007</v>
      </c>
      <c r="T404" t="s">
        <v>430</v>
      </c>
    </row>
    <row r="405" spans="1:20" ht="15">
      <c r="A405" t="s">
        <v>19</v>
      </c>
      <c r="B405" t="s">
        <v>20</v>
      </c>
      <c r="C405" t="str">
        <f t="shared" si="6"/>
        <v>31-Dec-21</v>
      </c>
      <c r="D405" t="s">
        <v>21</v>
      </c>
      <c r="E405" t="s">
        <v>22</v>
      </c>
      <c r="F405" t="str">
        <f>"BMBQDF6"</f>
        <v>BMBQDF6</v>
      </c>
      <c r="G405" t="s">
        <v>431</v>
      </c>
      <c r="I405" t="s">
        <v>432</v>
      </c>
      <c r="J405">
        <v>0.183184563</v>
      </c>
      <c r="K405">
        <v>250003</v>
      </c>
      <c r="L405">
        <v>15016883.96</v>
      </c>
      <c r="M405">
        <v>2830985.47</v>
      </c>
      <c r="N405">
        <v>38.86</v>
      </c>
      <c r="O405">
        <v>9715116.58</v>
      </c>
      <c r="P405">
        <v>1779659.38</v>
      </c>
      <c r="Q405">
        <v>0</v>
      </c>
      <c r="R405">
        <v>0</v>
      </c>
      <c r="S405">
        <v>0.041</v>
      </c>
      <c r="T405" t="s">
        <v>25</v>
      </c>
    </row>
    <row r="406" spans="1:20" ht="15">
      <c r="A406" t="s">
        <v>19</v>
      </c>
      <c r="B406" t="s">
        <v>20</v>
      </c>
      <c r="C406" t="str">
        <f t="shared" si="6"/>
        <v>31-Dec-21</v>
      </c>
      <c r="D406" t="s">
        <v>21</v>
      </c>
      <c r="E406" t="s">
        <v>22</v>
      </c>
      <c r="F406" t="str">
        <f>"5473113"</f>
        <v>5473113</v>
      </c>
      <c r="G406" t="s">
        <v>433</v>
      </c>
      <c r="I406" t="s">
        <v>432</v>
      </c>
      <c r="J406">
        <v>0.183184563</v>
      </c>
      <c r="K406">
        <v>97516</v>
      </c>
      <c r="L406">
        <v>10010930.2</v>
      </c>
      <c r="M406">
        <v>2078935.53</v>
      </c>
      <c r="N406">
        <v>122</v>
      </c>
      <c r="O406">
        <v>11896952</v>
      </c>
      <c r="P406">
        <v>2179337.95</v>
      </c>
      <c r="Q406">
        <v>0</v>
      </c>
      <c r="R406">
        <v>0</v>
      </c>
      <c r="S406">
        <v>0.05</v>
      </c>
      <c r="T406" t="s">
        <v>25</v>
      </c>
    </row>
    <row r="407" spans="1:20" ht="15">
      <c r="A407" t="s">
        <v>19</v>
      </c>
      <c r="B407" t="s">
        <v>20</v>
      </c>
      <c r="C407" t="str">
        <f t="shared" si="6"/>
        <v>31-Dec-21</v>
      </c>
      <c r="D407" t="s">
        <v>21</v>
      </c>
      <c r="E407" t="s">
        <v>22</v>
      </c>
      <c r="F407" t="str">
        <f>"7302215"</f>
        <v>7302215</v>
      </c>
      <c r="G407" t="s">
        <v>434</v>
      </c>
      <c r="I407" t="s">
        <v>432</v>
      </c>
      <c r="J407">
        <v>0.183184563</v>
      </c>
      <c r="K407">
        <v>41748</v>
      </c>
      <c r="L407">
        <v>7871760.7</v>
      </c>
      <c r="M407">
        <v>1622132.04</v>
      </c>
      <c r="N407">
        <v>192.9</v>
      </c>
      <c r="O407">
        <v>8053189.2</v>
      </c>
      <c r="P407">
        <v>1475219.94</v>
      </c>
      <c r="Q407">
        <v>0</v>
      </c>
      <c r="R407">
        <v>0</v>
      </c>
      <c r="S407">
        <v>0.034</v>
      </c>
      <c r="T407" t="s">
        <v>25</v>
      </c>
    </row>
    <row r="408" spans="1:20" ht="15">
      <c r="A408" t="s">
        <v>19</v>
      </c>
      <c r="B408" t="s">
        <v>20</v>
      </c>
      <c r="C408" t="str">
        <f t="shared" si="6"/>
        <v>31-Dec-21</v>
      </c>
      <c r="D408" t="s">
        <v>21</v>
      </c>
      <c r="E408" t="s">
        <v>22</v>
      </c>
      <c r="F408" t="str">
        <f>"B2QRCM4"</f>
        <v>B2QRCM4</v>
      </c>
      <c r="G408" t="s">
        <v>435</v>
      </c>
      <c r="I408" t="s">
        <v>432</v>
      </c>
      <c r="J408">
        <v>0.183184563</v>
      </c>
      <c r="K408">
        <v>180402</v>
      </c>
      <c r="L408">
        <v>4370847.21</v>
      </c>
      <c r="M408">
        <v>915320.88</v>
      </c>
      <c r="N408">
        <v>34.72</v>
      </c>
      <c r="O408">
        <v>6263557.44</v>
      </c>
      <c r="P408">
        <v>1147387.03</v>
      </c>
      <c r="Q408">
        <v>0</v>
      </c>
      <c r="R408">
        <v>0</v>
      </c>
      <c r="S408">
        <v>0.027</v>
      </c>
      <c r="T408" t="s">
        <v>25</v>
      </c>
    </row>
    <row r="409" spans="1:20" ht="15">
      <c r="A409" t="s">
        <v>19</v>
      </c>
      <c r="B409" t="s">
        <v>20</v>
      </c>
      <c r="C409" t="str">
        <f t="shared" si="6"/>
        <v>31-Dec-21</v>
      </c>
      <c r="D409" t="s">
        <v>21</v>
      </c>
      <c r="E409" t="s">
        <v>22</v>
      </c>
      <c r="F409" t="str">
        <f>"BD0YVN2"</f>
        <v>BD0YVN2</v>
      </c>
      <c r="G409" t="s">
        <v>436</v>
      </c>
      <c r="I409" t="s">
        <v>432</v>
      </c>
      <c r="J409">
        <v>0.183184563</v>
      </c>
      <c r="K409">
        <v>30956</v>
      </c>
      <c r="L409">
        <v>3296073.8</v>
      </c>
      <c r="M409">
        <v>675242.08</v>
      </c>
      <c r="N409">
        <v>367.3</v>
      </c>
      <c r="O409">
        <v>11370138.8</v>
      </c>
      <c r="P409">
        <v>2082833.91</v>
      </c>
      <c r="Q409">
        <v>0</v>
      </c>
      <c r="R409">
        <v>0</v>
      </c>
      <c r="S409">
        <v>0.048</v>
      </c>
      <c r="T409" t="s">
        <v>25</v>
      </c>
    </row>
    <row r="410" spans="1:20" ht="15">
      <c r="A410" t="s">
        <v>19</v>
      </c>
      <c r="B410" t="s">
        <v>20</v>
      </c>
      <c r="C410" t="str">
        <f t="shared" si="6"/>
        <v>31-Dec-21</v>
      </c>
      <c r="D410" t="s">
        <v>21</v>
      </c>
      <c r="E410" t="s">
        <v>22</v>
      </c>
      <c r="F410" t="str">
        <f>"5263251"</f>
        <v>5263251</v>
      </c>
      <c r="G410" t="s">
        <v>437</v>
      </c>
      <c r="I410" t="s">
        <v>432</v>
      </c>
      <c r="J410">
        <v>0.183184563</v>
      </c>
      <c r="K410">
        <v>88369</v>
      </c>
      <c r="L410">
        <v>7809235.85</v>
      </c>
      <c r="M410">
        <v>1616921.1</v>
      </c>
      <c r="N410">
        <v>139.4</v>
      </c>
      <c r="O410">
        <v>12318638.6</v>
      </c>
      <c r="P410">
        <v>2256584.43</v>
      </c>
      <c r="Q410">
        <v>0</v>
      </c>
      <c r="R410">
        <v>0</v>
      </c>
      <c r="S410">
        <v>0.052</v>
      </c>
      <c r="T410" t="s">
        <v>25</v>
      </c>
    </row>
    <row r="411" spans="1:20" ht="15">
      <c r="A411" t="s">
        <v>19</v>
      </c>
      <c r="B411" t="s">
        <v>20</v>
      </c>
      <c r="C411" t="str">
        <f t="shared" si="6"/>
        <v>31-Dec-21</v>
      </c>
      <c r="D411" t="s">
        <v>21</v>
      </c>
      <c r="E411" t="s">
        <v>22</v>
      </c>
      <c r="F411" t="str">
        <f>"7127979"</f>
        <v>7127979</v>
      </c>
      <c r="G411" t="s">
        <v>438</v>
      </c>
      <c r="I411" t="s">
        <v>432</v>
      </c>
      <c r="J411">
        <v>0.183184563</v>
      </c>
      <c r="K411">
        <v>838</v>
      </c>
      <c r="L411">
        <v>7467170.41</v>
      </c>
      <c r="M411">
        <v>1479854.89</v>
      </c>
      <c r="N411">
        <v>17200</v>
      </c>
      <c r="O411">
        <v>14413600</v>
      </c>
      <c r="P411">
        <v>2640349.01</v>
      </c>
      <c r="Q411">
        <v>0</v>
      </c>
      <c r="R411">
        <v>0</v>
      </c>
      <c r="S411">
        <v>0.061</v>
      </c>
      <c r="T411" t="s">
        <v>25</v>
      </c>
    </row>
    <row r="412" spans="1:20" ht="15">
      <c r="A412" t="s">
        <v>19</v>
      </c>
      <c r="B412" t="s">
        <v>20</v>
      </c>
      <c r="C412" t="str">
        <f t="shared" si="6"/>
        <v>31-Dec-21</v>
      </c>
      <c r="D412" t="s">
        <v>21</v>
      </c>
      <c r="E412" t="s">
        <v>22</v>
      </c>
      <c r="F412" t="str">
        <f>"BMXNYN0"</f>
        <v>BMXNYN0</v>
      </c>
      <c r="G412" t="s">
        <v>439</v>
      </c>
      <c r="I412" t="s">
        <v>432</v>
      </c>
      <c r="J412">
        <v>0.183184563</v>
      </c>
      <c r="K412">
        <v>42868</v>
      </c>
      <c r="L412">
        <v>1993669.62</v>
      </c>
      <c r="M412">
        <v>365776.76</v>
      </c>
      <c r="N412">
        <v>46.515</v>
      </c>
      <c r="O412">
        <v>1994005.02</v>
      </c>
      <c r="P412">
        <v>365270.94</v>
      </c>
      <c r="Q412">
        <v>0</v>
      </c>
      <c r="R412">
        <v>0</v>
      </c>
      <c r="S412">
        <v>0.008</v>
      </c>
      <c r="T412" t="s">
        <v>25</v>
      </c>
    </row>
    <row r="413" spans="1:20" ht="15">
      <c r="A413" t="s">
        <v>19</v>
      </c>
      <c r="B413" t="s">
        <v>20</v>
      </c>
      <c r="C413" t="str">
        <f t="shared" si="6"/>
        <v>31-Dec-21</v>
      </c>
      <c r="D413" t="s">
        <v>21</v>
      </c>
      <c r="E413" t="s">
        <v>22</v>
      </c>
      <c r="F413" t="str">
        <f>"5810066"</f>
        <v>5810066</v>
      </c>
      <c r="G413" t="s">
        <v>440</v>
      </c>
      <c r="I413" t="s">
        <v>432</v>
      </c>
      <c r="J413">
        <v>0.183184563</v>
      </c>
      <c r="K413">
        <v>210150</v>
      </c>
      <c r="L413">
        <v>19979404.67</v>
      </c>
      <c r="M413">
        <v>4106671.25</v>
      </c>
      <c r="N413">
        <v>74.34</v>
      </c>
      <c r="O413">
        <v>15622551</v>
      </c>
      <c r="P413">
        <v>2861810.17</v>
      </c>
      <c r="Q413">
        <v>0</v>
      </c>
      <c r="R413">
        <v>0</v>
      </c>
      <c r="S413">
        <v>0.066</v>
      </c>
      <c r="T413" t="s">
        <v>25</v>
      </c>
    </row>
    <row r="414" spans="1:20" ht="15">
      <c r="A414" t="s">
        <v>19</v>
      </c>
      <c r="B414" t="s">
        <v>20</v>
      </c>
      <c r="C414" t="str">
        <f t="shared" si="6"/>
        <v>31-Dec-21</v>
      </c>
      <c r="D414" t="s">
        <v>21</v>
      </c>
      <c r="E414" t="s">
        <v>22</v>
      </c>
      <c r="F414" t="str">
        <f>"B0L9113"</f>
        <v>B0L9113</v>
      </c>
      <c r="G414" t="s">
        <v>441</v>
      </c>
      <c r="I414" t="s">
        <v>432</v>
      </c>
      <c r="J414">
        <v>0.183184563</v>
      </c>
      <c r="K414">
        <v>1102047</v>
      </c>
      <c r="L414">
        <v>6709525.65</v>
      </c>
      <c r="M414">
        <v>1394485.4</v>
      </c>
      <c r="N414">
        <v>6.3</v>
      </c>
      <c r="O414">
        <v>6942896.1</v>
      </c>
      <c r="P414">
        <v>1271831.39</v>
      </c>
      <c r="Q414">
        <v>0</v>
      </c>
      <c r="R414">
        <v>0</v>
      </c>
      <c r="S414">
        <v>0.029</v>
      </c>
      <c r="T414" t="s">
        <v>25</v>
      </c>
    </row>
    <row r="415" spans="1:20" ht="15">
      <c r="A415" t="s">
        <v>19</v>
      </c>
      <c r="B415" t="s">
        <v>20</v>
      </c>
      <c r="C415" t="str">
        <f t="shared" si="6"/>
        <v>31-Dec-21</v>
      </c>
      <c r="D415" t="s">
        <v>21</v>
      </c>
      <c r="E415" t="s">
        <v>22</v>
      </c>
      <c r="F415" t="str">
        <f>"B03NGS5"</f>
        <v>B03NGS5</v>
      </c>
      <c r="G415" t="s">
        <v>442</v>
      </c>
      <c r="I415" t="s">
        <v>432</v>
      </c>
      <c r="J415">
        <v>0.183184563</v>
      </c>
      <c r="K415">
        <v>570229</v>
      </c>
      <c r="L415">
        <v>23098021.02</v>
      </c>
      <c r="M415">
        <v>4794745.36</v>
      </c>
      <c r="N415">
        <v>44.93</v>
      </c>
      <c r="O415">
        <v>25620388.97</v>
      </c>
      <c r="P415">
        <v>4693259.75</v>
      </c>
      <c r="Q415">
        <v>0</v>
      </c>
      <c r="R415">
        <v>0</v>
      </c>
      <c r="S415">
        <v>0.108</v>
      </c>
      <c r="T415" t="s">
        <v>25</v>
      </c>
    </row>
    <row r="416" spans="1:20" ht="15">
      <c r="A416" t="s">
        <v>19</v>
      </c>
      <c r="B416" t="s">
        <v>20</v>
      </c>
      <c r="C416" t="str">
        <f t="shared" si="6"/>
        <v>31-Dec-21</v>
      </c>
      <c r="D416" t="s">
        <v>21</v>
      </c>
      <c r="E416" t="s">
        <v>22</v>
      </c>
      <c r="F416" t="str">
        <f>"B63DG21"</f>
        <v>B63DG21</v>
      </c>
      <c r="G416" t="s">
        <v>443</v>
      </c>
      <c r="I416" t="s">
        <v>432</v>
      </c>
      <c r="J416">
        <v>0.183184563</v>
      </c>
      <c r="K416">
        <v>383892</v>
      </c>
      <c r="L416">
        <v>15000061.14</v>
      </c>
      <c r="M416">
        <v>3080338.88</v>
      </c>
      <c r="N416">
        <v>35.35</v>
      </c>
      <c r="O416">
        <v>13570582.2</v>
      </c>
      <c r="P416">
        <v>2485921.17</v>
      </c>
      <c r="Q416">
        <v>0</v>
      </c>
      <c r="R416">
        <v>0</v>
      </c>
      <c r="S416">
        <v>0.057</v>
      </c>
      <c r="T416" t="s">
        <v>25</v>
      </c>
    </row>
    <row r="417" spans="1:20" ht="15">
      <c r="A417" t="s">
        <v>19</v>
      </c>
      <c r="B417" t="s">
        <v>20</v>
      </c>
      <c r="C417" t="str">
        <f t="shared" si="6"/>
        <v>31-Dec-21</v>
      </c>
      <c r="D417" t="s">
        <v>21</v>
      </c>
      <c r="E417" t="s">
        <v>22</v>
      </c>
      <c r="F417" t="str">
        <f>"7153639"</f>
        <v>7153639</v>
      </c>
      <c r="G417" t="s">
        <v>444</v>
      </c>
      <c r="I417" t="s">
        <v>432</v>
      </c>
      <c r="J417">
        <v>0.183184563</v>
      </c>
      <c r="K417">
        <v>20887</v>
      </c>
      <c r="L417">
        <v>7744634.42</v>
      </c>
      <c r="M417">
        <v>1581762.69</v>
      </c>
      <c r="N417">
        <v>348.5</v>
      </c>
      <c r="O417">
        <v>7279119.5</v>
      </c>
      <c r="P417">
        <v>1333422.32</v>
      </c>
      <c r="Q417">
        <v>0</v>
      </c>
      <c r="R417">
        <v>0</v>
      </c>
      <c r="S417">
        <v>0.031</v>
      </c>
      <c r="T417" t="s">
        <v>25</v>
      </c>
    </row>
    <row r="418" spans="1:20" ht="15">
      <c r="A418" t="s">
        <v>19</v>
      </c>
      <c r="B418" t="s">
        <v>20</v>
      </c>
      <c r="C418" t="str">
        <f t="shared" si="6"/>
        <v>31-Dec-21</v>
      </c>
      <c r="D418" t="s">
        <v>21</v>
      </c>
      <c r="E418" t="s">
        <v>79</v>
      </c>
      <c r="I418" t="s">
        <v>432</v>
      </c>
      <c r="J418">
        <v>0.183184563</v>
      </c>
      <c r="K418">
        <v>0</v>
      </c>
      <c r="L418">
        <v>809936.56</v>
      </c>
      <c r="M418">
        <v>151228.65</v>
      </c>
      <c r="N418">
        <v>0</v>
      </c>
      <c r="O418">
        <v>809936.56</v>
      </c>
      <c r="P418">
        <v>148367.87</v>
      </c>
      <c r="Q418">
        <v>0</v>
      </c>
      <c r="R418">
        <v>0</v>
      </c>
      <c r="S418">
        <v>0.003</v>
      </c>
      <c r="T418" t="s">
        <v>445</v>
      </c>
    </row>
    <row r="419" spans="1:20" ht="15">
      <c r="A419" t="s">
        <v>19</v>
      </c>
      <c r="B419" t="s">
        <v>20</v>
      </c>
      <c r="C419" t="str">
        <f t="shared" si="6"/>
        <v>31-Dec-21</v>
      </c>
      <c r="D419" t="s">
        <v>21</v>
      </c>
      <c r="E419" t="s">
        <v>22</v>
      </c>
      <c r="F419" t="str">
        <f>"7332687"</f>
        <v>7332687</v>
      </c>
      <c r="G419" t="s">
        <v>446</v>
      </c>
      <c r="I419" t="s">
        <v>447</v>
      </c>
      <c r="J419">
        <v>0.0815462</v>
      </c>
      <c r="K419">
        <v>203528</v>
      </c>
      <c r="L419">
        <v>33514431.13</v>
      </c>
      <c r="M419">
        <v>2668609.44</v>
      </c>
      <c r="N419">
        <v>364.4</v>
      </c>
      <c r="O419">
        <v>74165603.2</v>
      </c>
      <c r="P419">
        <v>6047923.1</v>
      </c>
      <c r="Q419">
        <v>0</v>
      </c>
      <c r="R419">
        <v>0</v>
      </c>
      <c r="S419">
        <v>0.14</v>
      </c>
      <c r="T419" t="s">
        <v>25</v>
      </c>
    </row>
    <row r="420" spans="1:20" ht="15">
      <c r="A420" t="s">
        <v>19</v>
      </c>
      <c r="B420" t="s">
        <v>20</v>
      </c>
      <c r="C420" t="str">
        <f t="shared" si="6"/>
        <v>31-Dec-21</v>
      </c>
      <c r="D420" t="s">
        <v>21</v>
      </c>
      <c r="E420" t="s">
        <v>22</v>
      </c>
      <c r="F420" t="str">
        <f>"BYPC1T4"</f>
        <v>BYPC1T4</v>
      </c>
      <c r="G420" t="s">
        <v>448</v>
      </c>
      <c r="I420" t="s">
        <v>447</v>
      </c>
      <c r="J420">
        <v>0.0815462</v>
      </c>
      <c r="K420">
        <v>608074</v>
      </c>
      <c r="L420">
        <v>107991863.51</v>
      </c>
      <c r="M420">
        <v>8629023.68</v>
      </c>
      <c r="N420">
        <v>276.2</v>
      </c>
      <c r="O420">
        <v>167950038.8</v>
      </c>
      <c r="P420">
        <v>13695687.44</v>
      </c>
      <c r="Q420">
        <v>0</v>
      </c>
      <c r="R420">
        <v>0</v>
      </c>
      <c r="S420">
        <v>0.317</v>
      </c>
      <c r="T420" t="s">
        <v>25</v>
      </c>
    </row>
    <row r="421" spans="1:20" ht="15">
      <c r="A421" t="s">
        <v>19</v>
      </c>
      <c r="B421" t="s">
        <v>20</v>
      </c>
      <c r="C421" t="str">
        <f t="shared" si="6"/>
        <v>31-Dec-21</v>
      </c>
      <c r="D421" t="s">
        <v>21</v>
      </c>
      <c r="E421" t="s">
        <v>22</v>
      </c>
      <c r="F421" t="str">
        <f>"BD97BN2"</f>
        <v>BD97BN2</v>
      </c>
      <c r="G421" t="s">
        <v>449</v>
      </c>
      <c r="I421" t="s">
        <v>447</v>
      </c>
      <c r="J421">
        <v>0.0815462</v>
      </c>
      <c r="K421">
        <v>405618</v>
      </c>
      <c r="L421">
        <v>98174428.46</v>
      </c>
      <c r="M421">
        <v>7926123.59</v>
      </c>
      <c r="N421">
        <v>625.8</v>
      </c>
      <c r="O421">
        <v>253835744.4</v>
      </c>
      <c r="P421">
        <v>20699340.35</v>
      </c>
      <c r="Q421">
        <v>0</v>
      </c>
      <c r="R421">
        <v>0</v>
      </c>
      <c r="S421">
        <v>0.478</v>
      </c>
      <c r="T421" t="s">
        <v>25</v>
      </c>
    </row>
    <row r="422" spans="1:20" ht="15">
      <c r="A422" t="s">
        <v>19</v>
      </c>
      <c r="B422" t="s">
        <v>20</v>
      </c>
      <c r="C422" t="str">
        <f t="shared" si="6"/>
        <v>31-Dec-21</v>
      </c>
      <c r="D422" t="s">
        <v>21</v>
      </c>
      <c r="E422" t="s">
        <v>22</v>
      </c>
      <c r="F422" t="str">
        <f>"BD97BS7"</f>
        <v>BD97BS7</v>
      </c>
      <c r="G422" t="s">
        <v>449</v>
      </c>
      <c r="I422" t="s">
        <v>447</v>
      </c>
      <c r="J422">
        <v>0.0815462</v>
      </c>
      <c r="K422">
        <v>245768</v>
      </c>
      <c r="L422">
        <v>47907177.9</v>
      </c>
      <c r="M422">
        <v>3815217.73</v>
      </c>
      <c r="N422">
        <v>532.2</v>
      </c>
      <c r="O422">
        <v>130797729.6</v>
      </c>
      <c r="P422">
        <v>10666057.8</v>
      </c>
      <c r="Q422">
        <v>0</v>
      </c>
      <c r="R422">
        <v>0</v>
      </c>
      <c r="S422">
        <v>0.247</v>
      </c>
      <c r="T422" t="s">
        <v>25</v>
      </c>
    </row>
    <row r="423" spans="1:20" ht="15">
      <c r="A423" t="s">
        <v>19</v>
      </c>
      <c r="B423" t="s">
        <v>20</v>
      </c>
      <c r="C423" t="str">
        <f t="shared" si="6"/>
        <v>31-Dec-21</v>
      </c>
      <c r="D423" t="s">
        <v>21</v>
      </c>
      <c r="E423" t="s">
        <v>22</v>
      </c>
      <c r="F423" t="str">
        <f>"BP2NJ48"</f>
        <v>BP2NJ48</v>
      </c>
      <c r="G423" t="s">
        <v>450</v>
      </c>
      <c r="I423" t="s">
        <v>447</v>
      </c>
      <c r="J423">
        <v>0.0815462</v>
      </c>
      <c r="K423">
        <v>158515</v>
      </c>
      <c r="L423">
        <v>29612668.55</v>
      </c>
      <c r="M423">
        <v>2484019.59</v>
      </c>
      <c r="N423">
        <v>197.9</v>
      </c>
      <c r="O423">
        <v>31370118.5</v>
      </c>
      <c r="P423">
        <v>2558113.95</v>
      </c>
      <c r="Q423">
        <v>0</v>
      </c>
      <c r="R423">
        <v>0</v>
      </c>
      <c r="S423">
        <v>0.059</v>
      </c>
      <c r="T423" t="s">
        <v>25</v>
      </c>
    </row>
    <row r="424" spans="1:20" ht="15">
      <c r="A424" t="s">
        <v>19</v>
      </c>
      <c r="B424" t="s">
        <v>20</v>
      </c>
      <c r="C424" t="str">
        <f t="shared" si="6"/>
        <v>31-Dec-21</v>
      </c>
      <c r="D424" t="s">
        <v>21</v>
      </c>
      <c r="E424" t="s">
        <v>22</v>
      </c>
      <c r="F424" t="str">
        <f>"BMWPW33"</f>
        <v>BMWPW33</v>
      </c>
      <c r="G424" t="s">
        <v>451</v>
      </c>
      <c r="I424" t="s">
        <v>447</v>
      </c>
      <c r="J424">
        <v>0.0815462</v>
      </c>
      <c r="K424">
        <v>180235</v>
      </c>
      <c r="L424">
        <v>35100820.49</v>
      </c>
      <c r="M424">
        <v>2844408.85</v>
      </c>
      <c r="N424">
        <v>350</v>
      </c>
      <c r="O424">
        <v>63082250</v>
      </c>
      <c r="P424">
        <v>5144117.77</v>
      </c>
      <c r="Q424">
        <v>0</v>
      </c>
      <c r="R424">
        <v>0</v>
      </c>
      <c r="S424">
        <v>0.119</v>
      </c>
      <c r="T424" t="s">
        <v>25</v>
      </c>
    </row>
    <row r="425" spans="1:20" ht="15">
      <c r="A425" t="s">
        <v>19</v>
      </c>
      <c r="B425" t="s">
        <v>20</v>
      </c>
      <c r="C425" t="str">
        <f t="shared" si="6"/>
        <v>31-Dec-21</v>
      </c>
      <c r="D425" t="s">
        <v>21</v>
      </c>
      <c r="E425" t="s">
        <v>22</v>
      </c>
      <c r="F425" t="str">
        <f>"B0XP0T0"</f>
        <v>B0XP0T0</v>
      </c>
      <c r="G425" t="s">
        <v>452</v>
      </c>
      <c r="I425" t="s">
        <v>447</v>
      </c>
      <c r="J425">
        <v>0.0815462</v>
      </c>
      <c r="K425">
        <v>149419</v>
      </c>
      <c r="L425">
        <v>26902954.02</v>
      </c>
      <c r="M425">
        <v>2199006.24</v>
      </c>
      <c r="N425">
        <v>243.8</v>
      </c>
      <c r="O425">
        <v>36428352.2</v>
      </c>
      <c r="P425">
        <v>2970593.69</v>
      </c>
      <c r="Q425">
        <v>0</v>
      </c>
      <c r="R425">
        <v>0</v>
      </c>
      <c r="S425">
        <v>0.069</v>
      </c>
      <c r="T425" t="s">
        <v>25</v>
      </c>
    </row>
    <row r="426" spans="1:20" ht="15">
      <c r="A426" t="s">
        <v>19</v>
      </c>
      <c r="B426" t="s">
        <v>20</v>
      </c>
      <c r="C426" t="str">
        <f t="shared" si="6"/>
        <v>31-Dec-21</v>
      </c>
      <c r="D426" t="s">
        <v>21</v>
      </c>
      <c r="E426" t="s">
        <v>22</v>
      </c>
      <c r="F426" t="str">
        <f>"BJ7W9K4"</f>
        <v>BJ7W9K4</v>
      </c>
      <c r="G426" t="s">
        <v>453</v>
      </c>
      <c r="I426" t="s">
        <v>447</v>
      </c>
      <c r="J426">
        <v>0.0815462</v>
      </c>
      <c r="K426">
        <v>184427</v>
      </c>
      <c r="L426">
        <v>37489398.19</v>
      </c>
      <c r="M426">
        <v>3100925.99</v>
      </c>
      <c r="N426">
        <v>493</v>
      </c>
      <c r="O426">
        <v>90922511</v>
      </c>
      <c r="P426">
        <v>7414385.26</v>
      </c>
      <c r="Q426">
        <v>0</v>
      </c>
      <c r="R426">
        <v>0</v>
      </c>
      <c r="S426">
        <v>0.171</v>
      </c>
      <c r="T426" t="s">
        <v>25</v>
      </c>
    </row>
    <row r="427" spans="1:20" ht="15">
      <c r="A427" t="s">
        <v>19</v>
      </c>
      <c r="B427" t="s">
        <v>20</v>
      </c>
      <c r="C427" t="str">
        <f t="shared" si="6"/>
        <v>31-Dec-21</v>
      </c>
      <c r="D427" t="s">
        <v>21</v>
      </c>
      <c r="E427" t="s">
        <v>22</v>
      </c>
      <c r="F427" t="str">
        <f>"BP81612"</f>
        <v>BP81612</v>
      </c>
      <c r="G427" t="s">
        <v>454</v>
      </c>
      <c r="I427" t="s">
        <v>447</v>
      </c>
      <c r="J427">
        <v>0.0815462</v>
      </c>
      <c r="K427">
        <v>160079</v>
      </c>
      <c r="L427">
        <v>28817900.23</v>
      </c>
      <c r="M427">
        <v>2312145.54</v>
      </c>
      <c r="N427">
        <v>219.5</v>
      </c>
      <c r="O427">
        <v>35137340.5</v>
      </c>
      <c r="P427">
        <v>2865316.59</v>
      </c>
      <c r="Q427">
        <v>0</v>
      </c>
      <c r="R427">
        <v>0</v>
      </c>
      <c r="S427">
        <v>0.066</v>
      </c>
      <c r="T427" t="s">
        <v>25</v>
      </c>
    </row>
    <row r="428" spans="1:20" ht="15">
      <c r="A428" t="s">
        <v>19</v>
      </c>
      <c r="B428" t="s">
        <v>20</v>
      </c>
      <c r="C428" t="str">
        <f t="shared" si="6"/>
        <v>31-Dec-21</v>
      </c>
      <c r="D428" t="s">
        <v>21</v>
      </c>
      <c r="E428" t="s">
        <v>22</v>
      </c>
      <c r="F428" t="str">
        <f>"B0M42T2"</f>
        <v>B0M42T2</v>
      </c>
      <c r="G428" t="s">
        <v>455</v>
      </c>
      <c r="I428" t="s">
        <v>447</v>
      </c>
      <c r="J428">
        <v>0.0815462</v>
      </c>
      <c r="K428">
        <v>226733</v>
      </c>
      <c r="L428">
        <v>28248984.01</v>
      </c>
      <c r="M428">
        <v>2404692.48</v>
      </c>
      <c r="N428">
        <v>114.55</v>
      </c>
      <c r="O428">
        <v>25972265.15</v>
      </c>
      <c r="P428">
        <v>2117939.53</v>
      </c>
      <c r="Q428">
        <v>0</v>
      </c>
      <c r="R428">
        <v>0</v>
      </c>
      <c r="S428">
        <v>0.049</v>
      </c>
      <c r="T428" t="s">
        <v>25</v>
      </c>
    </row>
    <row r="429" spans="1:20" ht="15">
      <c r="A429" t="s">
        <v>19</v>
      </c>
      <c r="B429" t="s">
        <v>20</v>
      </c>
      <c r="C429" t="str">
        <f t="shared" si="6"/>
        <v>31-Dec-21</v>
      </c>
      <c r="D429" t="s">
        <v>21</v>
      </c>
      <c r="E429" t="s">
        <v>22</v>
      </c>
      <c r="F429" t="str">
        <f>"BMD58W3"</f>
        <v>BMD58W3</v>
      </c>
      <c r="G429" t="s">
        <v>456</v>
      </c>
      <c r="I429" t="s">
        <v>447</v>
      </c>
      <c r="J429">
        <v>0.0815462</v>
      </c>
      <c r="K429">
        <v>253199</v>
      </c>
      <c r="L429">
        <v>15845897.17</v>
      </c>
      <c r="M429">
        <v>1261300.47</v>
      </c>
      <c r="N429">
        <v>191.7</v>
      </c>
      <c r="O429">
        <v>48538248.3</v>
      </c>
      <c r="P429">
        <v>3958109.7</v>
      </c>
      <c r="Q429">
        <v>0</v>
      </c>
      <c r="R429">
        <v>0</v>
      </c>
      <c r="S429">
        <v>0.091</v>
      </c>
      <c r="T429" t="s">
        <v>25</v>
      </c>
    </row>
    <row r="430" spans="1:20" ht="15">
      <c r="A430" t="s">
        <v>19</v>
      </c>
      <c r="B430" t="s">
        <v>20</v>
      </c>
      <c r="C430" t="str">
        <f t="shared" si="6"/>
        <v>31-Dec-21</v>
      </c>
      <c r="D430" t="s">
        <v>21</v>
      </c>
      <c r="E430" t="s">
        <v>22</v>
      </c>
      <c r="F430" t="str">
        <f>"BMD58R8"</f>
        <v>BMD58R8</v>
      </c>
      <c r="G430" t="s">
        <v>456</v>
      </c>
      <c r="I430" t="s">
        <v>447</v>
      </c>
      <c r="J430">
        <v>0.0815462</v>
      </c>
      <c r="K430">
        <v>419856</v>
      </c>
      <c r="L430">
        <v>31872264.34</v>
      </c>
      <c r="M430">
        <v>2579213.97</v>
      </c>
      <c r="N430">
        <v>229.2</v>
      </c>
      <c r="O430">
        <v>96230995.2</v>
      </c>
      <c r="P430">
        <v>7847271.97</v>
      </c>
      <c r="Q430">
        <v>0</v>
      </c>
      <c r="R430">
        <v>0</v>
      </c>
      <c r="S430">
        <v>0.181</v>
      </c>
      <c r="T430" t="s">
        <v>25</v>
      </c>
    </row>
    <row r="431" spans="1:20" ht="15">
      <c r="A431" t="s">
        <v>19</v>
      </c>
      <c r="B431" t="s">
        <v>20</v>
      </c>
      <c r="C431" t="str">
        <f t="shared" si="6"/>
        <v>31-Dec-21</v>
      </c>
      <c r="D431" t="s">
        <v>21</v>
      </c>
      <c r="E431" t="s">
        <v>22</v>
      </c>
      <c r="F431" t="str">
        <f>"BF1K7P7"</f>
        <v>BF1K7P7</v>
      </c>
      <c r="G431" t="s">
        <v>457</v>
      </c>
      <c r="I431" t="s">
        <v>447</v>
      </c>
      <c r="J431">
        <v>0.0815462</v>
      </c>
      <c r="K431">
        <v>405023</v>
      </c>
      <c r="L431">
        <v>78577389.67</v>
      </c>
      <c r="M431">
        <v>6347480.1</v>
      </c>
      <c r="N431">
        <v>295.4</v>
      </c>
      <c r="O431">
        <v>119643794.2</v>
      </c>
      <c r="P431">
        <v>9756496.76</v>
      </c>
      <c r="Q431">
        <v>0</v>
      </c>
      <c r="R431">
        <v>0</v>
      </c>
      <c r="S431">
        <v>0.225</v>
      </c>
      <c r="T431" t="s">
        <v>25</v>
      </c>
    </row>
    <row r="432" spans="1:20" ht="15">
      <c r="A432" t="s">
        <v>19</v>
      </c>
      <c r="B432" t="s">
        <v>20</v>
      </c>
      <c r="C432" t="str">
        <f t="shared" si="6"/>
        <v>31-Dec-21</v>
      </c>
      <c r="D432" t="s">
        <v>21</v>
      </c>
      <c r="E432" t="s">
        <v>22</v>
      </c>
      <c r="F432" t="str">
        <f>"BJXSCH4"</f>
        <v>BJXSCH4</v>
      </c>
      <c r="G432" t="s">
        <v>458</v>
      </c>
      <c r="I432" t="s">
        <v>447</v>
      </c>
      <c r="J432">
        <v>0.0815462</v>
      </c>
      <c r="K432">
        <v>107640</v>
      </c>
      <c r="L432">
        <v>71570710.71</v>
      </c>
      <c r="M432">
        <v>6275781.3</v>
      </c>
      <c r="N432">
        <v>1286.2</v>
      </c>
      <c r="O432">
        <v>138446568</v>
      </c>
      <c r="P432">
        <v>11289791.51</v>
      </c>
      <c r="Q432">
        <v>0</v>
      </c>
      <c r="R432">
        <v>0</v>
      </c>
      <c r="S432">
        <v>0.261</v>
      </c>
      <c r="T432" t="s">
        <v>25</v>
      </c>
    </row>
    <row r="433" spans="1:20" ht="15">
      <c r="A433" t="s">
        <v>19</v>
      </c>
      <c r="B433" t="s">
        <v>20</v>
      </c>
      <c r="C433" t="str">
        <f t="shared" si="6"/>
        <v>31-Dec-21</v>
      </c>
      <c r="D433" t="s">
        <v>21</v>
      </c>
      <c r="E433" t="s">
        <v>22</v>
      </c>
      <c r="F433" t="str">
        <f>"B0LC9F2"</f>
        <v>B0LC9F2</v>
      </c>
      <c r="G433" t="s">
        <v>459</v>
      </c>
      <c r="I433" t="s">
        <v>447</v>
      </c>
      <c r="J433">
        <v>0.0815462</v>
      </c>
      <c r="K433">
        <v>65958</v>
      </c>
      <c r="L433">
        <v>18268219.59</v>
      </c>
      <c r="M433">
        <v>1584758.14</v>
      </c>
      <c r="N433">
        <v>651.8</v>
      </c>
      <c r="O433">
        <v>42991424.4</v>
      </c>
      <c r="P433">
        <v>3505787.29</v>
      </c>
      <c r="Q433">
        <v>0</v>
      </c>
      <c r="R433">
        <v>0</v>
      </c>
      <c r="S433">
        <v>0.081</v>
      </c>
      <c r="T433" t="s">
        <v>25</v>
      </c>
    </row>
    <row r="434" spans="1:20" ht="15">
      <c r="A434" t="s">
        <v>19</v>
      </c>
      <c r="B434" t="s">
        <v>20</v>
      </c>
      <c r="C434" t="str">
        <f t="shared" si="6"/>
        <v>31-Dec-21</v>
      </c>
      <c r="D434" t="s">
        <v>21</v>
      </c>
      <c r="E434" t="s">
        <v>22</v>
      </c>
      <c r="F434" t="str">
        <f>"7698356"</f>
        <v>7698356</v>
      </c>
      <c r="G434" t="s">
        <v>460</v>
      </c>
      <c r="I434" t="s">
        <v>447</v>
      </c>
      <c r="J434">
        <v>0.0815462</v>
      </c>
      <c r="K434">
        <v>150725</v>
      </c>
      <c r="L434">
        <v>36650736.74</v>
      </c>
      <c r="M434">
        <v>3092483.67</v>
      </c>
      <c r="N434">
        <v>395.1</v>
      </c>
      <c r="O434">
        <v>59551447.5</v>
      </c>
      <c r="P434">
        <v>4856194.24</v>
      </c>
      <c r="Q434">
        <v>0</v>
      </c>
      <c r="R434">
        <v>0</v>
      </c>
      <c r="S434">
        <v>0.112</v>
      </c>
      <c r="T434" t="s">
        <v>25</v>
      </c>
    </row>
    <row r="435" spans="1:20" ht="15">
      <c r="A435" t="s">
        <v>19</v>
      </c>
      <c r="B435" t="s">
        <v>20</v>
      </c>
      <c r="C435" t="str">
        <f t="shared" si="6"/>
        <v>31-Dec-21</v>
      </c>
      <c r="D435" t="s">
        <v>21</v>
      </c>
      <c r="E435" t="s">
        <v>22</v>
      </c>
      <c r="F435" t="str">
        <f>"5687431"</f>
        <v>5687431</v>
      </c>
      <c r="G435" t="s">
        <v>461</v>
      </c>
      <c r="I435" t="s">
        <v>447</v>
      </c>
      <c r="J435">
        <v>0.0815462</v>
      </c>
      <c r="K435">
        <v>584702</v>
      </c>
      <c r="L435">
        <v>163496746.43</v>
      </c>
      <c r="M435">
        <v>12928773.29</v>
      </c>
      <c r="N435">
        <v>178.08</v>
      </c>
      <c r="O435">
        <v>104123732.16</v>
      </c>
      <c r="P435">
        <v>8490894.68</v>
      </c>
      <c r="Q435">
        <v>0</v>
      </c>
      <c r="R435">
        <v>0</v>
      </c>
      <c r="S435">
        <v>0.196</v>
      </c>
      <c r="T435" t="s">
        <v>25</v>
      </c>
    </row>
    <row r="436" spans="1:20" ht="15">
      <c r="A436" t="s">
        <v>19</v>
      </c>
      <c r="B436" t="s">
        <v>20</v>
      </c>
      <c r="C436" t="str">
        <f t="shared" si="6"/>
        <v>31-Dec-21</v>
      </c>
      <c r="D436" t="s">
        <v>21</v>
      </c>
      <c r="E436" t="s">
        <v>22</v>
      </c>
      <c r="F436" t="str">
        <f>"BNZFHC1"</f>
        <v>BNZFHC1</v>
      </c>
      <c r="G436" t="s">
        <v>462</v>
      </c>
      <c r="I436" t="s">
        <v>447</v>
      </c>
      <c r="J436">
        <v>0.0815462</v>
      </c>
      <c r="K436">
        <v>1184164</v>
      </c>
      <c r="L436">
        <v>63394802.06</v>
      </c>
      <c r="M436">
        <v>5102520.08</v>
      </c>
      <c r="N436">
        <v>143.65</v>
      </c>
      <c r="O436">
        <v>170105158.6</v>
      </c>
      <c r="P436">
        <v>13871429.27</v>
      </c>
      <c r="Q436">
        <v>0</v>
      </c>
      <c r="R436">
        <v>0</v>
      </c>
      <c r="S436">
        <v>0.321</v>
      </c>
      <c r="T436" t="s">
        <v>25</v>
      </c>
    </row>
    <row r="437" spans="1:20" ht="15">
      <c r="A437" t="s">
        <v>19</v>
      </c>
      <c r="B437" t="s">
        <v>20</v>
      </c>
      <c r="C437" t="str">
        <f t="shared" si="6"/>
        <v>31-Dec-21</v>
      </c>
      <c r="D437" t="s">
        <v>21</v>
      </c>
      <c r="E437" t="s">
        <v>22</v>
      </c>
      <c r="F437" t="str">
        <f>"BDQQ1Q5"</f>
        <v>BDQQ1Q5</v>
      </c>
      <c r="G437" t="s">
        <v>463</v>
      </c>
      <c r="I437" t="s">
        <v>447</v>
      </c>
      <c r="J437">
        <v>0.0815462</v>
      </c>
      <c r="K437">
        <v>59558</v>
      </c>
      <c r="L437">
        <v>19978505</v>
      </c>
      <c r="M437">
        <v>1760648.57</v>
      </c>
      <c r="N437">
        <v>434.7</v>
      </c>
      <c r="O437">
        <v>25889862.6</v>
      </c>
      <c r="P437">
        <v>2111219.91</v>
      </c>
      <c r="Q437">
        <v>0</v>
      </c>
      <c r="R437">
        <v>0</v>
      </c>
      <c r="S437">
        <v>0.049</v>
      </c>
      <c r="T437" t="s">
        <v>25</v>
      </c>
    </row>
    <row r="438" spans="1:20" ht="15">
      <c r="A438" t="s">
        <v>19</v>
      </c>
      <c r="B438" t="s">
        <v>20</v>
      </c>
      <c r="C438" t="str">
        <f t="shared" si="6"/>
        <v>31-Dec-21</v>
      </c>
      <c r="D438" t="s">
        <v>21</v>
      </c>
      <c r="E438" t="s">
        <v>22</v>
      </c>
      <c r="F438" t="str">
        <f>"B12PJ24"</f>
        <v>B12PJ24</v>
      </c>
      <c r="G438" t="s">
        <v>464</v>
      </c>
      <c r="I438" t="s">
        <v>447</v>
      </c>
      <c r="J438">
        <v>0.0815462</v>
      </c>
      <c r="K438">
        <v>282532</v>
      </c>
      <c r="L438">
        <v>19705283.61</v>
      </c>
      <c r="M438">
        <v>1585654.97</v>
      </c>
      <c r="N438">
        <v>144.85</v>
      </c>
      <c r="O438">
        <v>40924760.2</v>
      </c>
      <c r="P438">
        <v>3337258.68</v>
      </c>
      <c r="Q438">
        <v>0</v>
      </c>
      <c r="R438">
        <v>0</v>
      </c>
      <c r="S438">
        <v>0.077</v>
      </c>
      <c r="T438" t="s">
        <v>25</v>
      </c>
    </row>
    <row r="439" spans="1:20" ht="15">
      <c r="A439" t="s">
        <v>19</v>
      </c>
      <c r="B439" t="s">
        <v>20</v>
      </c>
      <c r="C439" t="str">
        <f t="shared" si="6"/>
        <v>31-Dec-21</v>
      </c>
      <c r="D439" t="s">
        <v>21</v>
      </c>
      <c r="E439" t="s">
        <v>22</v>
      </c>
      <c r="F439" t="str">
        <f>"B1VSK10"</f>
        <v>B1VSK10</v>
      </c>
      <c r="G439" t="s">
        <v>465</v>
      </c>
      <c r="I439" t="s">
        <v>447</v>
      </c>
      <c r="J439">
        <v>0.0815462</v>
      </c>
      <c r="K439">
        <v>151645</v>
      </c>
      <c r="L439">
        <v>29258956.97</v>
      </c>
      <c r="M439">
        <v>2362833.74</v>
      </c>
      <c r="N439">
        <v>288.4</v>
      </c>
      <c r="O439">
        <v>43734418</v>
      </c>
      <c r="P439">
        <v>3566375.59</v>
      </c>
      <c r="Q439">
        <v>0</v>
      </c>
      <c r="R439">
        <v>0</v>
      </c>
      <c r="S439">
        <v>0.082</v>
      </c>
      <c r="T439" t="s">
        <v>25</v>
      </c>
    </row>
    <row r="440" spans="1:20" ht="15">
      <c r="A440" t="s">
        <v>19</v>
      </c>
      <c r="B440" t="s">
        <v>20</v>
      </c>
      <c r="C440" t="str">
        <f t="shared" si="6"/>
        <v>31-Dec-21</v>
      </c>
      <c r="D440" t="s">
        <v>21</v>
      </c>
      <c r="E440" t="s">
        <v>22</v>
      </c>
      <c r="F440" t="str">
        <f>"B1VSK54"</f>
        <v>B1VSK54</v>
      </c>
      <c r="G440" t="s">
        <v>465</v>
      </c>
      <c r="I440" t="s">
        <v>447</v>
      </c>
      <c r="J440">
        <v>0.0815462</v>
      </c>
      <c r="K440">
        <v>108214</v>
      </c>
      <c r="L440">
        <v>18608562.43</v>
      </c>
      <c r="M440">
        <v>1490293.52</v>
      </c>
      <c r="N440">
        <v>284.1</v>
      </c>
      <c r="O440">
        <v>30743597.4</v>
      </c>
      <c r="P440">
        <v>2507023.54</v>
      </c>
      <c r="Q440">
        <v>0</v>
      </c>
      <c r="R440">
        <v>0</v>
      </c>
      <c r="S440">
        <v>0.058</v>
      </c>
      <c r="T440" t="s">
        <v>25</v>
      </c>
    </row>
    <row r="441" spans="1:20" ht="15">
      <c r="A441" t="s">
        <v>19</v>
      </c>
      <c r="B441" t="s">
        <v>20</v>
      </c>
      <c r="C441" t="str">
        <f t="shared" si="6"/>
        <v>31-Dec-21</v>
      </c>
      <c r="D441" t="s">
        <v>21</v>
      </c>
      <c r="E441" t="s">
        <v>22</v>
      </c>
      <c r="F441" t="str">
        <f>"B0LDBX7"</f>
        <v>B0LDBX7</v>
      </c>
      <c r="G441" t="s">
        <v>466</v>
      </c>
      <c r="I441" t="s">
        <v>447</v>
      </c>
      <c r="J441">
        <v>0.0815462</v>
      </c>
      <c r="K441">
        <v>166478</v>
      </c>
      <c r="L441">
        <v>35069373.69</v>
      </c>
      <c r="M441">
        <v>2959283.85</v>
      </c>
      <c r="N441">
        <v>277.2</v>
      </c>
      <c r="O441">
        <v>46147701.6</v>
      </c>
      <c r="P441">
        <v>3763169.7</v>
      </c>
      <c r="Q441">
        <v>0</v>
      </c>
      <c r="R441">
        <v>0</v>
      </c>
      <c r="S441">
        <v>0.087</v>
      </c>
      <c r="T441" t="s">
        <v>25</v>
      </c>
    </row>
    <row r="442" spans="1:20" ht="15">
      <c r="A442" t="s">
        <v>19</v>
      </c>
      <c r="B442" t="s">
        <v>20</v>
      </c>
      <c r="C442" t="str">
        <f t="shared" si="6"/>
        <v>31-Dec-21</v>
      </c>
      <c r="D442" t="s">
        <v>21</v>
      </c>
      <c r="E442" t="s">
        <v>22</v>
      </c>
      <c r="F442" t="str">
        <f>"BZ404X1"</f>
        <v>BZ404X1</v>
      </c>
      <c r="G442" t="s">
        <v>467</v>
      </c>
      <c r="I442" t="s">
        <v>447</v>
      </c>
      <c r="J442">
        <v>0.0815462</v>
      </c>
      <c r="K442">
        <v>105175</v>
      </c>
      <c r="L442">
        <v>14357251.73</v>
      </c>
      <c r="M442">
        <v>1214368.76</v>
      </c>
      <c r="N442">
        <v>368.7</v>
      </c>
      <c r="O442">
        <v>38778022.5</v>
      </c>
      <c r="P442">
        <v>3162200.37</v>
      </c>
      <c r="Q442">
        <v>0</v>
      </c>
      <c r="R442">
        <v>0</v>
      </c>
      <c r="S442">
        <v>0.073</v>
      </c>
      <c r="T442" t="s">
        <v>25</v>
      </c>
    </row>
    <row r="443" spans="1:20" ht="15">
      <c r="A443" t="s">
        <v>19</v>
      </c>
      <c r="B443" t="s">
        <v>20</v>
      </c>
      <c r="C443" t="str">
        <f t="shared" si="6"/>
        <v>31-Dec-21</v>
      </c>
      <c r="D443" t="s">
        <v>21</v>
      </c>
      <c r="E443" t="s">
        <v>22</v>
      </c>
      <c r="F443" t="str">
        <f>"BMV7PQ4"</f>
        <v>BMV7PQ4</v>
      </c>
      <c r="G443" t="s">
        <v>468</v>
      </c>
      <c r="I443" t="s">
        <v>447</v>
      </c>
      <c r="J443">
        <v>0.0815462</v>
      </c>
      <c r="K443">
        <v>1174840</v>
      </c>
      <c r="L443">
        <v>104554673.88</v>
      </c>
      <c r="M443">
        <v>8374966.5</v>
      </c>
      <c r="N443">
        <v>227.75</v>
      </c>
      <c r="O443">
        <v>267569810</v>
      </c>
      <c r="P443">
        <v>21819301.21</v>
      </c>
      <c r="Q443">
        <v>0</v>
      </c>
      <c r="R443">
        <v>0</v>
      </c>
      <c r="S443">
        <v>0.504</v>
      </c>
      <c r="T443" t="s">
        <v>25</v>
      </c>
    </row>
    <row r="444" spans="1:20" ht="15">
      <c r="A444" t="s">
        <v>19</v>
      </c>
      <c r="B444" t="s">
        <v>20</v>
      </c>
      <c r="C444" t="str">
        <f t="shared" si="6"/>
        <v>31-Dec-21</v>
      </c>
      <c r="D444" t="s">
        <v>21</v>
      </c>
      <c r="E444" t="s">
        <v>22</v>
      </c>
      <c r="F444" t="str">
        <f>"BMV7PN1"</f>
        <v>BMV7PN1</v>
      </c>
      <c r="G444" t="s">
        <v>468</v>
      </c>
      <c r="I444" t="s">
        <v>447</v>
      </c>
      <c r="J444">
        <v>0.0815462</v>
      </c>
      <c r="K444">
        <v>328808</v>
      </c>
      <c r="L444">
        <v>36576748.3</v>
      </c>
      <c r="M444">
        <v>3086522.26</v>
      </c>
      <c r="N444">
        <v>238.6</v>
      </c>
      <c r="O444">
        <v>78453588.8</v>
      </c>
      <c r="P444">
        <v>6397592.03</v>
      </c>
      <c r="Q444">
        <v>0</v>
      </c>
      <c r="R444">
        <v>0</v>
      </c>
      <c r="S444">
        <v>0.148</v>
      </c>
      <c r="T444" t="s">
        <v>25</v>
      </c>
    </row>
    <row r="445" spans="1:20" ht="15">
      <c r="A445" t="s">
        <v>19</v>
      </c>
      <c r="B445" t="s">
        <v>20</v>
      </c>
      <c r="C445" t="str">
        <f t="shared" si="6"/>
        <v>31-Dec-21</v>
      </c>
      <c r="D445" t="s">
        <v>21</v>
      </c>
      <c r="E445" t="s">
        <v>22</v>
      </c>
      <c r="F445" t="str">
        <f>"BNKF5Z5"</f>
        <v>BNKF5Z5</v>
      </c>
      <c r="G445" t="s">
        <v>469</v>
      </c>
      <c r="I445" t="s">
        <v>447</v>
      </c>
      <c r="J445">
        <v>0.0815462</v>
      </c>
      <c r="K445">
        <v>7673</v>
      </c>
      <c r="L445">
        <v>2660090.55</v>
      </c>
      <c r="M445">
        <v>225411.8</v>
      </c>
      <c r="N445">
        <v>344.6</v>
      </c>
      <c r="O445">
        <v>2644115.8</v>
      </c>
      <c r="P445">
        <v>215617.6</v>
      </c>
      <c r="Q445">
        <v>0</v>
      </c>
      <c r="R445">
        <v>0</v>
      </c>
      <c r="S445">
        <v>0.005</v>
      </c>
      <c r="T445" t="s">
        <v>25</v>
      </c>
    </row>
    <row r="446" spans="1:20" ht="15">
      <c r="A446" t="s">
        <v>19</v>
      </c>
      <c r="B446" t="s">
        <v>20</v>
      </c>
      <c r="C446" t="str">
        <f t="shared" si="6"/>
        <v>31-Dec-21</v>
      </c>
      <c r="D446" t="s">
        <v>21</v>
      </c>
      <c r="E446" t="s">
        <v>22</v>
      </c>
      <c r="F446" t="str">
        <f>"BNKF607"</f>
        <v>BNKF607</v>
      </c>
      <c r="G446" t="s">
        <v>469</v>
      </c>
      <c r="I446" t="s">
        <v>447</v>
      </c>
      <c r="J446">
        <v>0.0815462</v>
      </c>
      <c r="K446">
        <v>159947</v>
      </c>
      <c r="L446">
        <v>20186822.85</v>
      </c>
      <c r="M446">
        <v>1643471.23</v>
      </c>
      <c r="N446">
        <v>322.75</v>
      </c>
      <c r="O446">
        <v>51622894.25</v>
      </c>
      <c r="P446">
        <v>4209650.85</v>
      </c>
      <c r="Q446">
        <v>0</v>
      </c>
      <c r="R446">
        <v>0</v>
      </c>
      <c r="S446">
        <v>0.097</v>
      </c>
      <c r="T446" t="s">
        <v>25</v>
      </c>
    </row>
    <row r="447" spans="1:20" ht="15">
      <c r="A447" t="s">
        <v>19</v>
      </c>
      <c r="B447" t="s">
        <v>20</v>
      </c>
      <c r="C447" t="str">
        <f t="shared" si="6"/>
        <v>31-Dec-21</v>
      </c>
      <c r="D447" t="s">
        <v>21</v>
      </c>
      <c r="E447" t="s">
        <v>22</v>
      </c>
      <c r="F447" t="str">
        <f>"4538002"</f>
        <v>4538002</v>
      </c>
      <c r="G447" t="s">
        <v>470</v>
      </c>
      <c r="I447" t="s">
        <v>447</v>
      </c>
      <c r="J447">
        <v>0.0815462</v>
      </c>
      <c r="K447">
        <v>50214</v>
      </c>
      <c r="L447">
        <v>15238199.52</v>
      </c>
      <c r="M447">
        <v>1338589.48</v>
      </c>
      <c r="N447">
        <v>508</v>
      </c>
      <c r="O447">
        <v>25508712</v>
      </c>
      <c r="P447">
        <v>2080138.53</v>
      </c>
      <c r="Q447">
        <v>0</v>
      </c>
      <c r="R447">
        <v>0</v>
      </c>
      <c r="S447">
        <v>0.048</v>
      </c>
      <c r="T447" t="s">
        <v>25</v>
      </c>
    </row>
    <row r="448" spans="1:20" ht="15">
      <c r="A448" t="s">
        <v>19</v>
      </c>
      <c r="B448" t="s">
        <v>20</v>
      </c>
      <c r="C448" t="str">
        <f t="shared" si="6"/>
        <v>31-Dec-21</v>
      </c>
      <c r="D448" t="s">
        <v>21</v>
      </c>
      <c r="E448" t="s">
        <v>22</v>
      </c>
      <c r="F448" t="str">
        <f>"BL6K7K9"</f>
        <v>BL6K7K9</v>
      </c>
      <c r="G448" t="s">
        <v>471</v>
      </c>
      <c r="I448" t="s">
        <v>447</v>
      </c>
      <c r="J448">
        <v>0.0815462</v>
      </c>
      <c r="K448">
        <v>147020</v>
      </c>
      <c r="L448">
        <v>20180041.35</v>
      </c>
      <c r="M448">
        <v>1769035.55</v>
      </c>
      <c r="N448">
        <v>270.7</v>
      </c>
      <c r="O448">
        <v>39798314</v>
      </c>
      <c r="P448">
        <v>3245401.27</v>
      </c>
      <c r="Q448">
        <v>0</v>
      </c>
      <c r="R448">
        <v>0</v>
      </c>
      <c r="S448">
        <v>0.075</v>
      </c>
      <c r="T448" t="s">
        <v>25</v>
      </c>
    </row>
    <row r="449" spans="1:20" ht="15">
      <c r="A449" t="s">
        <v>19</v>
      </c>
      <c r="B449" t="s">
        <v>20</v>
      </c>
      <c r="C449" t="str">
        <f t="shared" si="6"/>
        <v>31-Dec-21</v>
      </c>
      <c r="D449" t="s">
        <v>21</v>
      </c>
      <c r="E449" t="s">
        <v>22</v>
      </c>
      <c r="F449" t="str">
        <f>"7187627"</f>
        <v>7187627</v>
      </c>
      <c r="G449" t="s">
        <v>472</v>
      </c>
      <c r="I449" t="s">
        <v>447</v>
      </c>
      <c r="J449">
        <v>0.0815462</v>
      </c>
      <c r="K449">
        <v>128040</v>
      </c>
      <c r="L449">
        <v>22048278.22</v>
      </c>
      <c r="M449">
        <v>1757274.54</v>
      </c>
      <c r="N449">
        <v>324.5</v>
      </c>
      <c r="O449">
        <v>41548980</v>
      </c>
      <c r="P449">
        <v>3388161.43</v>
      </c>
      <c r="Q449">
        <v>0</v>
      </c>
      <c r="R449">
        <v>0</v>
      </c>
      <c r="S449">
        <v>0.078</v>
      </c>
      <c r="T449" t="s">
        <v>25</v>
      </c>
    </row>
    <row r="450" spans="1:20" ht="15">
      <c r="A450" t="s">
        <v>19</v>
      </c>
      <c r="B450" t="s">
        <v>20</v>
      </c>
      <c r="C450" t="str">
        <f aca="true" t="shared" si="7" ref="C450:C477">"31-Dec-21"</f>
        <v>31-Dec-21</v>
      </c>
      <c r="D450" t="s">
        <v>21</v>
      </c>
      <c r="E450" t="s">
        <v>22</v>
      </c>
      <c r="F450" t="str">
        <f>"BN7BZM3"</f>
        <v>BN7BZM3</v>
      </c>
      <c r="G450" t="s">
        <v>473</v>
      </c>
      <c r="I450" t="s">
        <v>447</v>
      </c>
      <c r="J450">
        <v>0.0815462</v>
      </c>
      <c r="K450">
        <v>789004</v>
      </c>
      <c r="L450">
        <v>21431655.55</v>
      </c>
      <c r="M450">
        <v>1824986.71</v>
      </c>
      <c r="N450">
        <v>136.75</v>
      </c>
      <c r="O450">
        <v>107896297</v>
      </c>
      <c r="P450">
        <v>8798533</v>
      </c>
      <c r="Q450">
        <v>0</v>
      </c>
      <c r="R450">
        <v>0</v>
      </c>
      <c r="S450">
        <v>0.203</v>
      </c>
      <c r="T450" t="s">
        <v>25</v>
      </c>
    </row>
    <row r="451" spans="1:20" ht="15">
      <c r="A451" t="s">
        <v>19</v>
      </c>
      <c r="B451" t="s">
        <v>20</v>
      </c>
      <c r="C451" t="str">
        <f t="shared" si="7"/>
        <v>31-Dec-21</v>
      </c>
      <c r="D451" t="s">
        <v>21</v>
      </c>
      <c r="E451" t="s">
        <v>22</v>
      </c>
      <c r="F451" t="str">
        <f>"B1Q3J35"</f>
        <v>B1Q3J35</v>
      </c>
      <c r="G451" t="s">
        <v>474</v>
      </c>
      <c r="I451" t="s">
        <v>447</v>
      </c>
      <c r="J451">
        <v>0.0815462</v>
      </c>
      <c r="K451">
        <v>251426</v>
      </c>
      <c r="L451">
        <v>48421366.53</v>
      </c>
      <c r="M451">
        <v>3817574.99</v>
      </c>
      <c r="N451">
        <v>214.5</v>
      </c>
      <c r="O451">
        <v>53930877</v>
      </c>
      <c r="P451">
        <v>4397858.08</v>
      </c>
      <c r="Q451">
        <v>0</v>
      </c>
      <c r="R451">
        <v>0</v>
      </c>
      <c r="S451">
        <v>0.102</v>
      </c>
      <c r="T451" t="s">
        <v>25</v>
      </c>
    </row>
    <row r="452" spans="1:20" ht="15">
      <c r="A452" t="s">
        <v>19</v>
      </c>
      <c r="B452" t="s">
        <v>20</v>
      </c>
      <c r="C452" t="str">
        <f t="shared" si="7"/>
        <v>31-Dec-21</v>
      </c>
      <c r="D452" t="s">
        <v>21</v>
      </c>
      <c r="E452" t="s">
        <v>22</v>
      </c>
      <c r="F452" t="str">
        <f>"5469554"</f>
        <v>5469554</v>
      </c>
      <c r="G452" t="s">
        <v>475</v>
      </c>
      <c r="I452" t="s">
        <v>447</v>
      </c>
      <c r="J452">
        <v>0.0815462</v>
      </c>
      <c r="K452">
        <v>62085</v>
      </c>
      <c r="L452">
        <v>21067134.45</v>
      </c>
      <c r="M452">
        <v>1875908.12</v>
      </c>
      <c r="N452">
        <v>230.3</v>
      </c>
      <c r="O452">
        <v>14298175.5</v>
      </c>
      <c r="P452">
        <v>1165961.88</v>
      </c>
      <c r="Q452">
        <v>0</v>
      </c>
      <c r="R452">
        <v>0</v>
      </c>
      <c r="S452">
        <v>0.027</v>
      </c>
      <c r="T452" t="s">
        <v>25</v>
      </c>
    </row>
    <row r="453" spans="1:20" ht="15">
      <c r="A453" t="s">
        <v>19</v>
      </c>
      <c r="B453" t="s">
        <v>20</v>
      </c>
      <c r="C453" t="str">
        <f t="shared" si="7"/>
        <v>31-Dec-21</v>
      </c>
      <c r="D453" t="s">
        <v>21</v>
      </c>
      <c r="E453" t="s">
        <v>22</v>
      </c>
      <c r="F453" t="str">
        <f>"B9M3PK4"</f>
        <v>B9M3PK4</v>
      </c>
      <c r="G453" t="s">
        <v>476</v>
      </c>
      <c r="I453" t="s">
        <v>447</v>
      </c>
      <c r="J453">
        <v>0.0815462</v>
      </c>
      <c r="K453">
        <v>119056</v>
      </c>
      <c r="L453">
        <v>24122207.99</v>
      </c>
      <c r="M453">
        <v>2035900.14</v>
      </c>
      <c r="N453">
        <v>305</v>
      </c>
      <c r="O453">
        <v>36312080</v>
      </c>
      <c r="P453">
        <v>2961112.13</v>
      </c>
      <c r="Q453">
        <v>0</v>
      </c>
      <c r="R453">
        <v>0</v>
      </c>
      <c r="S453">
        <v>0.068</v>
      </c>
      <c r="T453" t="s">
        <v>25</v>
      </c>
    </row>
    <row r="454" spans="1:20" ht="15">
      <c r="A454" t="s">
        <v>19</v>
      </c>
      <c r="B454" t="s">
        <v>20</v>
      </c>
      <c r="C454" t="str">
        <f t="shared" si="7"/>
        <v>31-Dec-21</v>
      </c>
      <c r="D454" t="s">
        <v>21</v>
      </c>
      <c r="E454" t="s">
        <v>22</v>
      </c>
      <c r="F454" t="str">
        <f>"BDQZF59"</f>
        <v>BDQZF59</v>
      </c>
      <c r="G454" t="s">
        <v>476</v>
      </c>
      <c r="I454" t="s">
        <v>447</v>
      </c>
      <c r="J454">
        <v>0.0815462</v>
      </c>
      <c r="K454">
        <v>45000</v>
      </c>
      <c r="L454">
        <v>1493421.12</v>
      </c>
      <c r="M454">
        <v>125961.07</v>
      </c>
      <c r="N454">
        <v>33.4</v>
      </c>
      <c r="O454">
        <v>1503000</v>
      </c>
      <c r="P454">
        <v>122563.94</v>
      </c>
      <c r="Q454">
        <v>21375</v>
      </c>
      <c r="R454">
        <v>1743.05</v>
      </c>
      <c r="S454">
        <v>0.003</v>
      </c>
      <c r="T454" t="s">
        <v>25</v>
      </c>
    </row>
    <row r="455" spans="1:20" ht="15">
      <c r="A455" t="s">
        <v>19</v>
      </c>
      <c r="B455" t="s">
        <v>20</v>
      </c>
      <c r="C455" t="str">
        <f t="shared" si="7"/>
        <v>31-Dec-21</v>
      </c>
      <c r="D455" t="s">
        <v>21</v>
      </c>
      <c r="E455" t="s">
        <v>22</v>
      </c>
      <c r="F455" t="str">
        <f>"B1VQ252"</f>
        <v>B1VQ252</v>
      </c>
      <c r="G455" t="s">
        <v>477</v>
      </c>
      <c r="I455" t="s">
        <v>447</v>
      </c>
      <c r="J455">
        <v>0.0815462</v>
      </c>
      <c r="K455">
        <v>717243</v>
      </c>
      <c r="L455">
        <v>82155912.3</v>
      </c>
      <c r="M455">
        <v>6631784.53</v>
      </c>
      <c r="N455">
        <v>252.6</v>
      </c>
      <c r="O455">
        <v>181175581.8</v>
      </c>
      <c r="P455">
        <v>14774180.21</v>
      </c>
      <c r="Q455">
        <v>0</v>
      </c>
      <c r="R455">
        <v>0</v>
      </c>
      <c r="S455">
        <v>0.341</v>
      </c>
      <c r="T455" t="s">
        <v>25</v>
      </c>
    </row>
    <row r="456" spans="1:20" ht="15">
      <c r="A456" t="s">
        <v>19</v>
      </c>
      <c r="B456" t="s">
        <v>20</v>
      </c>
      <c r="C456" t="str">
        <f t="shared" si="7"/>
        <v>31-Dec-21</v>
      </c>
      <c r="D456" t="s">
        <v>21</v>
      </c>
      <c r="E456" t="s">
        <v>22</v>
      </c>
      <c r="F456" t="str">
        <f>"5554041"</f>
        <v>5554041</v>
      </c>
      <c r="G456" t="s">
        <v>478</v>
      </c>
      <c r="I456" t="s">
        <v>447</v>
      </c>
      <c r="J456">
        <v>0.0815462</v>
      </c>
      <c r="K456">
        <v>204970</v>
      </c>
      <c r="L456">
        <v>26053880.84</v>
      </c>
      <c r="M456">
        <v>2076616.34</v>
      </c>
      <c r="N456">
        <v>124.65</v>
      </c>
      <c r="O456">
        <v>25549510.5</v>
      </c>
      <c r="P456">
        <v>2083465.49</v>
      </c>
      <c r="Q456">
        <v>0</v>
      </c>
      <c r="R456">
        <v>0</v>
      </c>
      <c r="S456">
        <v>0.048</v>
      </c>
      <c r="T456" t="s">
        <v>25</v>
      </c>
    </row>
    <row r="457" spans="1:20" ht="15">
      <c r="A457" t="s">
        <v>19</v>
      </c>
      <c r="B457" t="s">
        <v>20</v>
      </c>
      <c r="C457" t="str">
        <f t="shared" si="7"/>
        <v>31-Dec-21</v>
      </c>
      <c r="D457" t="s">
        <v>21</v>
      </c>
      <c r="E457" t="s">
        <v>22</v>
      </c>
      <c r="F457" t="str">
        <f>"BKP8Q11"</f>
        <v>BKP8Q11</v>
      </c>
      <c r="G457" t="s">
        <v>479</v>
      </c>
      <c r="I457" t="s">
        <v>447</v>
      </c>
      <c r="J457">
        <v>0.0815462</v>
      </c>
      <c r="K457">
        <v>336520</v>
      </c>
      <c r="L457">
        <v>33271447.89</v>
      </c>
      <c r="M457">
        <v>2880278.02</v>
      </c>
      <c r="N457">
        <v>115.1</v>
      </c>
      <c r="O457">
        <v>38733452</v>
      </c>
      <c r="P457">
        <v>3158565.82</v>
      </c>
      <c r="Q457">
        <v>0</v>
      </c>
      <c r="R457">
        <v>0</v>
      </c>
      <c r="S457">
        <v>0.073</v>
      </c>
      <c r="T457" t="s">
        <v>25</v>
      </c>
    </row>
    <row r="458" spans="1:20" ht="15">
      <c r="A458" t="s">
        <v>19</v>
      </c>
      <c r="B458" t="s">
        <v>20</v>
      </c>
      <c r="C458" t="str">
        <f t="shared" si="7"/>
        <v>31-Dec-21</v>
      </c>
      <c r="D458" t="s">
        <v>21</v>
      </c>
      <c r="E458" t="s">
        <v>22</v>
      </c>
      <c r="F458" t="str">
        <f>"4813345"</f>
        <v>4813345</v>
      </c>
      <c r="G458" t="s">
        <v>480</v>
      </c>
      <c r="I458" t="s">
        <v>447</v>
      </c>
      <c r="J458">
        <v>0.0815462</v>
      </c>
      <c r="K458">
        <v>910205</v>
      </c>
      <c r="L458">
        <v>89500191.04</v>
      </c>
      <c r="M458">
        <v>7107746.96</v>
      </c>
      <c r="N458">
        <v>125.85</v>
      </c>
      <c r="O458">
        <v>114549299.25</v>
      </c>
      <c r="P458">
        <v>9341060.05</v>
      </c>
      <c r="Q458">
        <v>0</v>
      </c>
      <c r="R458">
        <v>0</v>
      </c>
      <c r="S458">
        <v>0.216</v>
      </c>
      <c r="T458" t="s">
        <v>25</v>
      </c>
    </row>
    <row r="459" spans="1:20" ht="15">
      <c r="A459" t="s">
        <v>19</v>
      </c>
      <c r="B459" t="s">
        <v>20</v>
      </c>
      <c r="C459" t="str">
        <f t="shared" si="7"/>
        <v>31-Dec-21</v>
      </c>
      <c r="D459" t="s">
        <v>21</v>
      </c>
      <c r="E459" t="s">
        <v>22</v>
      </c>
      <c r="F459" t="str">
        <f>"4812740"</f>
        <v>4812740</v>
      </c>
      <c r="G459" t="s">
        <v>480</v>
      </c>
      <c r="I459" t="s">
        <v>447</v>
      </c>
      <c r="J459">
        <v>0.0815462</v>
      </c>
      <c r="K459">
        <v>38273</v>
      </c>
      <c r="L459">
        <v>3890828.32</v>
      </c>
      <c r="M459">
        <v>349441.8</v>
      </c>
      <c r="N459">
        <v>131.2</v>
      </c>
      <c r="O459">
        <v>5021417.6</v>
      </c>
      <c r="P459">
        <v>409477.52</v>
      </c>
      <c r="Q459">
        <v>0</v>
      </c>
      <c r="R459">
        <v>0</v>
      </c>
      <c r="S459">
        <v>0.009</v>
      </c>
      <c r="T459" t="s">
        <v>25</v>
      </c>
    </row>
    <row r="460" spans="1:20" ht="15">
      <c r="A460" t="s">
        <v>19</v>
      </c>
      <c r="B460" t="s">
        <v>20</v>
      </c>
      <c r="C460" t="str">
        <f t="shared" si="7"/>
        <v>31-Dec-21</v>
      </c>
      <c r="D460" t="s">
        <v>21</v>
      </c>
      <c r="E460" t="s">
        <v>22</v>
      </c>
      <c r="F460" t="str">
        <f>"7142091"</f>
        <v>7142091</v>
      </c>
      <c r="G460" t="s">
        <v>481</v>
      </c>
      <c r="I460" t="s">
        <v>447</v>
      </c>
      <c r="J460">
        <v>0.0815462</v>
      </c>
      <c r="K460">
        <v>231517</v>
      </c>
      <c r="L460">
        <v>41433133.21</v>
      </c>
      <c r="M460">
        <v>3288237.86</v>
      </c>
      <c r="N460">
        <v>234.2</v>
      </c>
      <c r="O460">
        <v>54221281.4</v>
      </c>
      <c r="P460">
        <v>4421539.45</v>
      </c>
      <c r="Q460">
        <v>0</v>
      </c>
      <c r="R460">
        <v>0</v>
      </c>
      <c r="S460">
        <v>0.102</v>
      </c>
      <c r="T460" t="s">
        <v>25</v>
      </c>
    </row>
    <row r="461" spans="1:20" ht="15">
      <c r="A461" t="s">
        <v>19</v>
      </c>
      <c r="B461" t="s">
        <v>20</v>
      </c>
      <c r="C461" t="str">
        <f t="shared" si="7"/>
        <v>31-Dec-21</v>
      </c>
      <c r="D461" t="s">
        <v>21</v>
      </c>
      <c r="E461" t="s">
        <v>22</v>
      </c>
      <c r="F461" t="str">
        <f>"B1VVGZ5"</f>
        <v>B1VVGZ5</v>
      </c>
      <c r="G461" t="s">
        <v>482</v>
      </c>
      <c r="I461" t="s">
        <v>447</v>
      </c>
      <c r="J461">
        <v>0.0815462</v>
      </c>
      <c r="K461">
        <v>401314</v>
      </c>
      <c r="L461">
        <v>24279770</v>
      </c>
      <c r="M461">
        <v>1979718.89</v>
      </c>
      <c r="N461">
        <v>160.75</v>
      </c>
      <c r="O461">
        <v>64511225.5</v>
      </c>
      <c r="P461">
        <v>5260645.29</v>
      </c>
      <c r="Q461">
        <v>0</v>
      </c>
      <c r="R461">
        <v>0</v>
      </c>
      <c r="S461">
        <v>0.122</v>
      </c>
      <c r="T461" t="s">
        <v>25</v>
      </c>
    </row>
    <row r="462" spans="1:20" ht="15">
      <c r="A462" t="s">
        <v>19</v>
      </c>
      <c r="B462" t="s">
        <v>20</v>
      </c>
      <c r="C462" t="str">
        <f t="shared" si="7"/>
        <v>31-Dec-21</v>
      </c>
      <c r="D462" t="s">
        <v>21</v>
      </c>
      <c r="E462" t="s">
        <v>22</v>
      </c>
      <c r="F462" t="str">
        <f>"B1VVGV1"</f>
        <v>B1VVGV1</v>
      </c>
      <c r="G462" t="s">
        <v>482</v>
      </c>
      <c r="I462" t="s">
        <v>447</v>
      </c>
      <c r="J462">
        <v>0.0815462</v>
      </c>
      <c r="K462">
        <v>2442</v>
      </c>
      <c r="L462">
        <v>202822.53</v>
      </c>
      <c r="M462">
        <v>17378.79</v>
      </c>
      <c r="N462">
        <v>161.4</v>
      </c>
      <c r="O462">
        <v>394138.8</v>
      </c>
      <c r="P462">
        <v>32140.52</v>
      </c>
      <c r="Q462">
        <v>0</v>
      </c>
      <c r="R462">
        <v>0</v>
      </c>
      <c r="S462">
        <v>0.001</v>
      </c>
      <c r="T462" t="s">
        <v>25</v>
      </c>
    </row>
    <row r="463" spans="1:20" ht="15">
      <c r="A463" t="s">
        <v>19</v>
      </c>
      <c r="B463" t="s">
        <v>20</v>
      </c>
      <c r="C463" t="str">
        <f t="shared" si="7"/>
        <v>31-Dec-21</v>
      </c>
      <c r="D463" t="s">
        <v>21</v>
      </c>
      <c r="E463" t="s">
        <v>22</v>
      </c>
      <c r="F463" t="str">
        <f>"BXDZ9V6"</f>
        <v>BXDZ9V6</v>
      </c>
      <c r="G463" t="s">
        <v>483</v>
      </c>
      <c r="I463" t="s">
        <v>447</v>
      </c>
      <c r="J463">
        <v>0.0815462</v>
      </c>
      <c r="K463">
        <v>3789</v>
      </c>
      <c r="L463">
        <v>374738.3</v>
      </c>
      <c r="M463">
        <v>31606.92</v>
      </c>
      <c r="N463">
        <v>107.8</v>
      </c>
      <c r="O463">
        <v>408454.2</v>
      </c>
      <c r="P463">
        <v>33307.89</v>
      </c>
      <c r="Q463">
        <v>0</v>
      </c>
      <c r="R463">
        <v>0</v>
      </c>
      <c r="S463">
        <v>0.001</v>
      </c>
      <c r="T463" t="s">
        <v>25</v>
      </c>
    </row>
    <row r="464" spans="1:20" ht="15">
      <c r="A464" t="s">
        <v>19</v>
      </c>
      <c r="B464" t="s">
        <v>20</v>
      </c>
      <c r="C464" t="str">
        <f t="shared" si="7"/>
        <v>31-Dec-21</v>
      </c>
      <c r="D464" t="s">
        <v>21</v>
      </c>
      <c r="E464" t="s">
        <v>22</v>
      </c>
      <c r="F464" t="str">
        <f>"BXDZ9Q1"</f>
        <v>BXDZ9Q1</v>
      </c>
      <c r="G464" t="s">
        <v>483</v>
      </c>
      <c r="I464" t="s">
        <v>447</v>
      </c>
      <c r="J464">
        <v>0.0815462</v>
      </c>
      <c r="K464">
        <v>926461</v>
      </c>
      <c r="L464">
        <v>104561852.48</v>
      </c>
      <c r="M464">
        <v>8318195.36</v>
      </c>
      <c r="N464">
        <v>97.86</v>
      </c>
      <c r="O464">
        <v>90663473.46</v>
      </c>
      <c r="P464">
        <v>7393261.73</v>
      </c>
      <c r="Q464">
        <v>0</v>
      </c>
      <c r="R464">
        <v>0</v>
      </c>
      <c r="S464">
        <v>0.171</v>
      </c>
      <c r="T464" t="s">
        <v>25</v>
      </c>
    </row>
    <row r="465" spans="1:20" ht="15">
      <c r="A465" t="s">
        <v>19</v>
      </c>
      <c r="B465" t="s">
        <v>20</v>
      </c>
      <c r="C465" t="str">
        <f t="shared" si="7"/>
        <v>31-Dec-21</v>
      </c>
      <c r="D465" t="s">
        <v>21</v>
      </c>
      <c r="E465" t="s">
        <v>22</v>
      </c>
      <c r="F465" t="str">
        <f>"BLN9XH8"</f>
        <v>BLN9XH8</v>
      </c>
      <c r="G465" t="s">
        <v>484</v>
      </c>
      <c r="I465" t="s">
        <v>447</v>
      </c>
      <c r="J465">
        <v>0.0815462</v>
      </c>
      <c r="K465">
        <v>126027</v>
      </c>
      <c r="L465">
        <v>21073800.14</v>
      </c>
      <c r="M465">
        <v>1857173.8</v>
      </c>
      <c r="N465">
        <v>170.2</v>
      </c>
      <c r="O465">
        <v>21449795.4</v>
      </c>
      <c r="P465">
        <v>1749149.3</v>
      </c>
      <c r="Q465">
        <v>0</v>
      </c>
      <c r="R465">
        <v>0</v>
      </c>
      <c r="S465">
        <v>0.04</v>
      </c>
      <c r="T465" t="s">
        <v>25</v>
      </c>
    </row>
    <row r="466" spans="1:20" ht="15">
      <c r="A466" t="s">
        <v>19</v>
      </c>
      <c r="B466" t="s">
        <v>20</v>
      </c>
      <c r="C466" t="str">
        <f t="shared" si="7"/>
        <v>31-Dec-21</v>
      </c>
      <c r="D466" t="s">
        <v>21</v>
      </c>
      <c r="E466" t="s">
        <v>22</v>
      </c>
      <c r="F466" t="str">
        <f>"BP09MR2"</f>
        <v>BP09MR2</v>
      </c>
      <c r="G466" t="s">
        <v>485</v>
      </c>
      <c r="I466" t="s">
        <v>447</v>
      </c>
      <c r="J466">
        <v>0.0815462</v>
      </c>
      <c r="K466">
        <v>1015623</v>
      </c>
      <c r="L466">
        <v>30541662.53</v>
      </c>
      <c r="M466">
        <v>2437335.86</v>
      </c>
      <c r="N466">
        <v>72.02</v>
      </c>
      <c r="O466">
        <v>73145168.46</v>
      </c>
      <c r="P466">
        <v>5964710.53</v>
      </c>
      <c r="Q466">
        <v>0</v>
      </c>
      <c r="R466">
        <v>0</v>
      </c>
      <c r="S466">
        <v>0.138</v>
      </c>
      <c r="T466" t="s">
        <v>25</v>
      </c>
    </row>
    <row r="467" spans="1:20" ht="15">
      <c r="A467" t="s">
        <v>19</v>
      </c>
      <c r="B467" t="s">
        <v>20</v>
      </c>
      <c r="C467" t="str">
        <f t="shared" si="7"/>
        <v>31-Dec-21</v>
      </c>
      <c r="D467" t="s">
        <v>21</v>
      </c>
      <c r="E467" t="s">
        <v>22</v>
      </c>
      <c r="F467" t="str">
        <f>"B1CC9H0"</f>
        <v>B1CC9H0</v>
      </c>
      <c r="G467" t="s">
        <v>486</v>
      </c>
      <c r="I467" t="s">
        <v>447</v>
      </c>
      <c r="J467">
        <v>0.0815462</v>
      </c>
      <c r="K467">
        <v>113233</v>
      </c>
      <c r="L467">
        <v>28653858.77</v>
      </c>
      <c r="M467">
        <v>2438271.3</v>
      </c>
      <c r="N467">
        <v>185.1</v>
      </c>
      <c r="O467">
        <v>20959428.3</v>
      </c>
      <c r="P467">
        <v>1709161.73</v>
      </c>
      <c r="Q467">
        <v>0</v>
      </c>
      <c r="R467">
        <v>0</v>
      </c>
      <c r="S467">
        <v>0.04</v>
      </c>
      <c r="T467" t="s">
        <v>25</v>
      </c>
    </row>
    <row r="468" spans="1:20" ht="15">
      <c r="A468" t="s">
        <v>19</v>
      </c>
      <c r="B468" t="s">
        <v>20</v>
      </c>
      <c r="C468" t="str">
        <f t="shared" si="7"/>
        <v>31-Dec-21</v>
      </c>
      <c r="D468" t="s">
        <v>21</v>
      </c>
      <c r="E468" t="s">
        <v>22</v>
      </c>
      <c r="F468" t="str">
        <f>"B97C733"</f>
        <v>B97C733</v>
      </c>
      <c r="G468" t="s">
        <v>487</v>
      </c>
      <c r="I468" t="s">
        <v>447</v>
      </c>
      <c r="J468">
        <v>0.0815462</v>
      </c>
      <c r="K468">
        <v>338321</v>
      </c>
      <c r="L468">
        <v>35650596.18</v>
      </c>
      <c r="M468">
        <v>2922085.58</v>
      </c>
      <c r="N468">
        <v>129.1</v>
      </c>
      <c r="O468">
        <v>43677241.1</v>
      </c>
      <c r="P468">
        <v>3561713.03</v>
      </c>
      <c r="Q468">
        <v>0</v>
      </c>
      <c r="R468">
        <v>0</v>
      </c>
      <c r="S468">
        <v>0.082</v>
      </c>
      <c r="T468" t="s">
        <v>25</v>
      </c>
    </row>
    <row r="469" spans="1:20" ht="15">
      <c r="A469" t="s">
        <v>19</v>
      </c>
      <c r="B469" t="s">
        <v>20</v>
      </c>
      <c r="C469" t="str">
        <f t="shared" si="7"/>
        <v>31-Dec-21</v>
      </c>
      <c r="D469" t="s">
        <v>21</v>
      </c>
      <c r="E469" t="s">
        <v>22</v>
      </c>
      <c r="F469" t="str">
        <f>"5959378"</f>
        <v>5959378</v>
      </c>
      <c r="G469" t="s">
        <v>488</v>
      </c>
      <c r="I469" t="s">
        <v>447</v>
      </c>
      <c r="J469">
        <v>0.0815462</v>
      </c>
      <c r="K469">
        <v>1984438</v>
      </c>
      <c r="L469">
        <v>174858641.66</v>
      </c>
      <c r="M469">
        <v>13901901.15</v>
      </c>
      <c r="N469">
        <v>99.79</v>
      </c>
      <c r="O469">
        <v>198027068.02</v>
      </c>
      <c r="P469">
        <v>16148354.87</v>
      </c>
      <c r="Q469">
        <v>0</v>
      </c>
      <c r="R469">
        <v>0</v>
      </c>
      <c r="S469">
        <v>0.373</v>
      </c>
      <c r="T469" t="s">
        <v>25</v>
      </c>
    </row>
    <row r="470" spans="1:20" ht="15">
      <c r="A470" t="s">
        <v>19</v>
      </c>
      <c r="B470" t="s">
        <v>20</v>
      </c>
      <c r="C470" t="str">
        <f t="shared" si="7"/>
        <v>31-Dec-21</v>
      </c>
      <c r="D470" t="s">
        <v>21</v>
      </c>
      <c r="E470" t="s">
        <v>22</v>
      </c>
      <c r="F470" t="str">
        <f>"5957480"</f>
        <v>5957480</v>
      </c>
      <c r="G470" t="s">
        <v>489</v>
      </c>
      <c r="I470" t="s">
        <v>447</v>
      </c>
      <c r="J470">
        <v>0.0815462</v>
      </c>
      <c r="K470">
        <v>39101</v>
      </c>
      <c r="L470">
        <v>3888496.13</v>
      </c>
      <c r="M470">
        <v>329642.31</v>
      </c>
      <c r="N470">
        <v>100.2</v>
      </c>
      <c r="O470">
        <v>3917920.2</v>
      </c>
      <c r="P470">
        <v>319491.5</v>
      </c>
      <c r="Q470">
        <v>0</v>
      </c>
      <c r="R470">
        <v>0</v>
      </c>
      <c r="S470">
        <v>0.007</v>
      </c>
      <c r="T470" t="s">
        <v>25</v>
      </c>
    </row>
    <row r="471" spans="1:20" ht="15">
      <c r="A471" t="s">
        <v>19</v>
      </c>
      <c r="B471" t="s">
        <v>20</v>
      </c>
      <c r="C471" t="str">
        <f t="shared" si="7"/>
        <v>31-Dec-21</v>
      </c>
      <c r="D471" t="s">
        <v>21</v>
      </c>
      <c r="E471" t="s">
        <v>22</v>
      </c>
      <c r="F471" t="str">
        <f>"5978384"</f>
        <v>5978384</v>
      </c>
      <c r="G471" t="s">
        <v>490</v>
      </c>
      <c r="I471" t="s">
        <v>447</v>
      </c>
      <c r="J471">
        <v>0.0815462</v>
      </c>
      <c r="K471">
        <v>1685326</v>
      </c>
      <c r="L471">
        <v>77717493.2</v>
      </c>
      <c r="M471">
        <v>6203826.73</v>
      </c>
      <c r="N471">
        <v>35.405</v>
      </c>
      <c r="O471">
        <v>59668967.03</v>
      </c>
      <c r="P471">
        <v>4865777.51</v>
      </c>
      <c r="Q471">
        <v>0</v>
      </c>
      <c r="R471">
        <v>0</v>
      </c>
      <c r="S471">
        <v>0.112</v>
      </c>
      <c r="T471" t="s">
        <v>25</v>
      </c>
    </row>
    <row r="472" spans="1:20" ht="15">
      <c r="A472" t="s">
        <v>19</v>
      </c>
      <c r="B472" t="s">
        <v>20</v>
      </c>
      <c r="C472" t="str">
        <f t="shared" si="7"/>
        <v>31-Dec-21</v>
      </c>
      <c r="D472" t="s">
        <v>21</v>
      </c>
      <c r="E472" t="s">
        <v>22</v>
      </c>
      <c r="F472" t="str">
        <f>"4902384"</f>
        <v>4902384</v>
      </c>
      <c r="G472" t="s">
        <v>491</v>
      </c>
      <c r="I472" t="s">
        <v>447</v>
      </c>
      <c r="J472">
        <v>0.0815462</v>
      </c>
      <c r="K472">
        <v>153145</v>
      </c>
      <c r="L472">
        <v>25162032.77</v>
      </c>
      <c r="M472">
        <v>2000947.87</v>
      </c>
      <c r="N472">
        <v>237.8</v>
      </c>
      <c r="O472">
        <v>36417881</v>
      </c>
      <c r="P472">
        <v>2969739.8</v>
      </c>
      <c r="Q472">
        <v>0</v>
      </c>
      <c r="R472">
        <v>0</v>
      </c>
      <c r="S472">
        <v>0.069</v>
      </c>
      <c r="T472" t="s">
        <v>25</v>
      </c>
    </row>
    <row r="473" spans="1:20" ht="15">
      <c r="A473" t="s">
        <v>19</v>
      </c>
      <c r="B473" t="s">
        <v>20</v>
      </c>
      <c r="C473" t="str">
        <f t="shared" si="7"/>
        <v>31-Dec-21</v>
      </c>
      <c r="D473" t="s">
        <v>21</v>
      </c>
      <c r="E473" t="s">
        <v>22</v>
      </c>
      <c r="F473" t="str">
        <f>"B1QH7Y4"</f>
        <v>B1QH7Y4</v>
      </c>
      <c r="G473" t="s">
        <v>492</v>
      </c>
      <c r="I473" t="s">
        <v>447</v>
      </c>
      <c r="J473">
        <v>0.0815462</v>
      </c>
      <c r="K473">
        <v>144177</v>
      </c>
      <c r="L473">
        <v>25313533.1</v>
      </c>
      <c r="M473">
        <v>2215889.64</v>
      </c>
      <c r="N473">
        <v>212.6</v>
      </c>
      <c r="O473">
        <v>30652030.2</v>
      </c>
      <c r="P473">
        <v>2499556.58</v>
      </c>
      <c r="Q473">
        <v>0</v>
      </c>
      <c r="R473">
        <v>0</v>
      </c>
      <c r="S473">
        <v>0.058</v>
      </c>
      <c r="T473" t="s">
        <v>25</v>
      </c>
    </row>
    <row r="474" spans="1:20" ht="15">
      <c r="A474" t="s">
        <v>19</v>
      </c>
      <c r="B474" t="s">
        <v>20</v>
      </c>
      <c r="C474" t="str">
        <f t="shared" si="7"/>
        <v>31-Dec-21</v>
      </c>
      <c r="D474" t="s">
        <v>21</v>
      </c>
      <c r="E474" t="s">
        <v>22</v>
      </c>
      <c r="F474" t="str">
        <f>"B1QH830"</f>
        <v>B1QH830</v>
      </c>
      <c r="G474" t="s">
        <v>492</v>
      </c>
      <c r="I474" t="s">
        <v>447</v>
      </c>
      <c r="J474">
        <v>0.0815462</v>
      </c>
      <c r="K474">
        <v>994182</v>
      </c>
      <c r="L474">
        <v>126968484.17</v>
      </c>
      <c r="M474">
        <v>10249730.46</v>
      </c>
      <c r="N474">
        <v>209.65</v>
      </c>
      <c r="O474">
        <v>208430256.3</v>
      </c>
      <c r="P474">
        <v>16996695.34</v>
      </c>
      <c r="Q474">
        <v>0</v>
      </c>
      <c r="R474">
        <v>0</v>
      </c>
      <c r="S474">
        <v>0.393</v>
      </c>
      <c r="T474" t="s">
        <v>25</v>
      </c>
    </row>
    <row r="475" spans="1:19" ht="15">
      <c r="A475" t="s">
        <v>19</v>
      </c>
      <c r="B475" t="s">
        <v>20</v>
      </c>
      <c r="C475" t="str">
        <f t="shared" si="7"/>
        <v>31-Dec-21</v>
      </c>
      <c r="D475" t="s">
        <v>21</v>
      </c>
      <c r="E475" t="s">
        <v>77</v>
      </c>
      <c r="F475" t="str">
        <f>"OMXS30F2"</f>
        <v>OMXS30F2</v>
      </c>
      <c r="G475" t="s">
        <v>493</v>
      </c>
      <c r="I475" t="s">
        <v>447</v>
      </c>
      <c r="J475">
        <v>0.0815462</v>
      </c>
      <c r="K475">
        <v>39</v>
      </c>
      <c r="L475">
        <v>9040675.8</v>
      </c>
      <c r="M475">
        <v>750505.13</v>
      </c>
      <c r="N475">
        <v>2419.25</v>
      </c>
      <c r="O475">
        <v>9435075</v>
      </c>
      <c r="P475">
        <v>769394.51</v>
      </c>
      <c r="Q475">
        <v>0</v>
      </c>
      <c r="R475">
        <v>0</v>
      </c>
      <c r="S475">
        <v>0</v>
      </c>
    </row>
    <row r="476" spans="1:20" ht="15">
      <c r="A476" t="s">
        <v>19</v>
      </c>
      <c r="B476" t="s">
        <v>20</v>
      </c>
      <c r="C476" t="str">
        <f t="shared" si="7"/>
        <v>31-Dec-21</v>
      </c>
      <c r="D476" t="s">
        <v>21</v>
      </c>
      <c r="E476" t="s">
        <v>79</v>
      </c>
      <c r="I476" t="s">
        <v>447</v>
      </c>
      <c r="J476">
        <v>0.0815462</v>
      </c>
      <c r="K476">
        <v>0</v>
      </c>
      <c r="L476">
        <v>12958128.09</v>
      </c>
      <c r="M476">
        <v>1071498.09</v>
      </c>
      <c r="N476">
        <v>0</v>
      </c>
      <c r="O476">
        <v>12958128.09</v>
      </c>
      <c r="P476">
        <v>1056686.1</v>
      </c>
      <c r="Q476">
        <v>0</v>
      </c>
      <c r="R476">
        <v>0</v>
      </c>
      <c r="S476">
        <v>0.024</v>
      </c>
      <c r="T476" t="s">
        <v>430</v>
      </c>
    </row>
    <row r="477" spans="1:20" ht="15">
      <c r="A477" t="s">
        <v>19</v>
      </c>
      <c r="B477" t="s">
        <v>20</v>
      </c>
      <c r="C477" t="str">
        <f t="shared" si="7"/>
        <v>31-Dec-21</v>
      </c>
      <c r="D477" t="s">
        <v>21</v>
      </c>
      <c r="E477" t="s">
        <v>79</v>
      </c>
      <c r="I477" t="s">
        <v>494</v>
      </c>
      <c r="J477">
        <v>0.738307062</v>
      </c>
      <c r="K477">
        <v>0</v>
      </c>
      <c r="L477">
        <v>182194.27</v>
      </c>
      <c r="M477">
        <v>136581.48</v>
      </c>
      <c r="N477">
        <v>0</v>
      </c>
      <c r="O477">
        <v>182194.27</v>
      </c>
      <c r="P477">
        <v>134515.32</v>
      </c>
      <c r="Q477">
        <v>0</v>
      </c>
      <c r="R477">
        <v>0</v>
      </c>
      <c r="S477">
        <v>0.003</v>
      </c>
      <c r="T477" t="s">
        <v>495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B, Naga Warshini</cp:lastModifiedBy>
  <dcterms:created xsi:type="dcterms:W3CDTF">2022-01-05T12:15:03Z</dcterms:created>
  <dcterms:modified xsi:type="dcterms:W3CDTF">2022-01-05T12:15:03Z</dcterms:modified>
  <cp:category/>
  <cp:version/>
  <cp:contentType/>
  <cp:contentStatus/>
</cp:coreProperties>
</file>